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Volumes/VMLPDoc/Documents Laurence/APPT ST GILLES/"/>
    </mc:Choice>
  </mc:AlternateContent>
  <xr:revisionPtr revIDLastSave="0" documentId="13_ncr:1000001_{E1999D26-27C4-B740-8317-137EE8191FA9}" xr6:coauthVersionLast="45" xr6:coauthVersionMax="45" xr10:uidLastSave="{00000000-0000-0000-0000-000000000000}"/>
  <bookViews>
    <workbookView xWindow="0" yWindow="460" windowWidth="28800" windowHeight="16260" tabRatio="686" firstSheet="4" activeTab="8" xr2:uid="{00000000-000D-0000-FFFF-FFFF00000000}"/>
  </bookViews>
  <sheets>
    <sheet name="Décembre 2019" sheetId="15" r:id="rId1"/>
    <sheet name="Janvier 2020" sheetId="29" r:id="rId2"/>
    <sheet name="Février" sheetId="30" r:id="rId3"/>
    <sheet name="Mars" sheetId="31" r:id="rId4"/>
    <sheet name="Avril" sheetId="32" r:id="rId5"/>
    <sheet name="Mai" sheetId="33" r:id="rId6"/>
    <sheet name="Juin" sheetId="34" r:id="rId7"/>
    <sheet name="Juillet" sheetId="35" r:id="rId8"/>
    <sheet name="Août" sheetId="36" r:id="rId9"/>
    <sheet name="Septembre" sheetId="37" r:id="rId10"/>
    <sheet name="Octobre" sheetId="38" r:id="rId11"/>
    <sheet name="Novembre" sheetId="39" r:id="rId12"/>
    <sheet name="Décembre 2020" sheetId="40" r:id="rId13"/>
    <sheet name="Janv 2021" sheetId="42" r:id="rId14"/>
    <sheet name="Feuil1" sheetId="41" r:id="rId15"/>
  </sheets>
  <definedNames>
    <definedName name="AnnéeCalendrier" localSheetId="13">#REF!</definedName>
    <definedName name="AnnéeCalendrier">#REF!</definedName>
    <definedName name="CAL" localSheetId="8">Décembre[[#Headers],[Nom des locataires]]</definedName>
    <definedName name="CAL" localSheetId="4">Décembre[[#Headers],[Nom des locataires]]</definedName>
    <definedName name="CAL" localSheetId="12">Décembre[[#Headers],[Nom des locataires]]</definedName>
    <definedName name="CAL" localSheetId="13">Décembre[[#Headers],[Nom des locataires]]</definedName>
    <definedName name="CAL" localSheetId="7">Décembre[[#Headers],[Nom des locataires]]</definedName>
    <definedName name="CAL" localSheetId="6">Décembre[[#Headers],[Nom des locataires]]</definedName>
    <definedName name="CAL" localSheetId="5">Décembre[[#Headers],[Nom des locataires]]</definedName>
    <definedName name="CAL" localSheetId="3">Décembre[[#Headers],[Nom des locataires]]</definedName>
    <definedName name="CAL" localSheetId="11">Décembre[[#Headers],[Nom des locataires]]</definedName>
    <definedName name="CAL" localSheetId="10">Décembre[[#Headers],[Nom des locataires]]</definedName>
    <definedName name="CAL" localSheetId="9">Décembre[[#Headers],[Nom des locataires]]</definedName>
    <definedName name="CAL">Décembre[[#Headers],[Nom des locataires]]</definedName>
    <definedName name="CléCongé" localSheetId="13">#REF!</definedName>
    <definedName name="CléCongé">#REF!</definedName>
    <definedName name="CléMaladie" localSheetId="13">#REF!</definedName>
    <definedName name="CléMaladie">#REF!</definedName>
    <definedName name="CléPersonnalisée1" localSheetId="13">#REF!</definedName>
    <definedName name="CléPersonnalisée1">#REF!</definedName>
    <definedName name="CléPersonnalisée2" localSheetId="13">#REF!</definedName>
    <definedName name="CléPersonnalisée2">#REF!</definedName>
    <definedName name="CléPersonnel" localSheetId="13">#REF!</definedName>
    <definedName name="CléPersonnel">#REF!</definedName>
    <definedName name="ÉtiquetteCléCongé" localSheetId="13">#REF!</definedName>
    <definedName name="ÉtiquetteCléCongé">#REF!</definedName>
    <definedName name="ÉtiquetteCléMaladie" localSheetId="13">#REF!</definedName>
    <definedName name="ÉtiquetteCléMaladie">#REF!</definedName>
    <definedName name="ÉtiquetteCléPersonnalisée1" localSheetId="13">#REF!</definedName>
    <definedName name="ÉtiquetteCléPersonnalisée1">#REF!</definedName>
    <definedName name="ÉtiquetteCléPersonnalisée2" localSheetId="13">#REF!</definedName>
    <definedName name="ÉtiquetteCléPersonnalisée2">#REF!</definedName>
    <definedName name="ÉtiquetteCléPersonnel" localSheetId="13">#REF!</definedName>
    <definedName name="ÉtiquetteCléPersonnel">#REF!</definedName>
    <definedName name="_xlnm.Print_Titles" localSheetId="8">Août!$4:$6</definedName>
    <definedName name="_xlnm.Print_Titles" localSheetId="4">Avril!$4:$6</definedName>
    <definedName name="_xlnm.Print_Titles" localSheetId="0">'Décembre 2019'!$4:$6</definedName>
    <definedName name="_xlnm.Print_Titles" localSheetId="12">'Décembre 2020'!$4:$6</definedName>
    <definedName name="_xlnm.Print_Titles" localSheetId="2">Février!$4:$6</definedName>
    <definedName name="_xlnm.Print_Titles" localSheetId="13">'Janv 2021'!$4:$6</definedName>
    <definedName name="_xlnm.Print_Titles" localSheetId="1">'Janvier 2020'!$4:$6</definedName>
    <definedName name="_xlnm.Print_Titles" localSheetId="7">Juillet!$4:$6</definedName>
    <definedName name="_xlnm.Print_Titles" localSheetId="6">Juin!$4:$6</definedName>
    <definedName name="_xlnm.Print_Titles" localSheetId="5">Mai!$4:$6</definedName>
    <definedName name="_xlnm.Print_Titles" localSheetId="3">Mars!$4:$6</definedName>
    <definedName name="_xlnm.Print_Titles" localSheetId="11">Novembre!$4:$6</definedName>
    <definedName name="_xlnm.Print_Titles" localSheetId="10">Octobre!$4:$6</definedName>
    <definedName name="_xlnm.Print_Titles" localSheetId="9">Septembre!$4:$6</definedName>
    <definedName name="Nom_clé" localSheetId="13">#REF!</definedName>
    <definedName name="Nom_clé">#REF!</definedName>
    <definedName name="NomMois" localSheetId="8">Août!$B$4</definedName>
    <definedName name="NomMois" localSheetId="4">Avril!$B$4</definedName>
    <definedName name="NomMois" localSheetId="0">'Décembre 2019'!$B$4</definedName>
    <definedName name="NomMois" localSheetId="12">'Décembre 2020'!$B$4</definedName>
    <definedName name="NomMois" localSheetId="2">Février!$B$4</definedName>
    <definedName name="NomMois" localSheetId="13">'Janv 2021'!$B$4</definedName>
    <definedName name="NomMois" localSheetId="1">'Janvier 2020'!$B$4</definedName>
    <definedName name="NomMois" localSheetId="7">Juillet!$B$4</definedName>
    <definedName name="NomMois" localSheetId="6">Juin!$B$4</definedName>
    <definedName name="NomMois" localSheetId="5">Mai!$B$4</definedName>
    <definedName name="NomMois" localSheetId="3">Mars!$B$4</definedName>
    <definedName name="NomMois" localSheetId="11">Novembre!$B$4</definedName>
    <definedName name="NomMois" localSheetId="10">Octobre!$B$4</definedName>
    <definedName name="NomMois" localSheetId="9">Septembre!$B$4</definedName>
    <definedName name="Titre_Absence_Employé" localSheetId="13">#REF!</definedName>
    <definedName name="Titre_Absence_Employé">#REF!</definedName>
    <definedName name="Titre1" localSheetId="8">#REF!</definedName>
    <definedName name="Titre1" localSheetId="4">#REF!</definedName>
    <definedName name="Titre1" localSheetId="12">#REF!</definedName>
    <definedName name="Titre1" localSheetId="2">#REF!</definedName>
    <definedName name="Titre1" localSheetId="13">#REF!</definedName>
    <definedName name="Titre1" localSheetId="1">#REF!</definedName>
    <definedName name="Titre1" localSheetId="7">#REF!</definedName>
    <definedName name="Titre1" localSheetId="6">#REF!</definedName>
    <definedName name="Titre1" localSheetId="5">#REF!</definedName>
    <definedName name="Titre1" localSheetId="3">#REF!</definedName>
    <definedName name="Titre1" localSheetId="11">#REF!</definedName>
    <definedName name="Titre1" localSheetId="10">#REF!</definedName>
    <definedName name="Titre1" localSheetId="9">#REF!</definedName>
    <definedName name="Titre1">#REF!</definedName>
    <definedName name="Titre10" localSheetId="8">#REF!</definedName>
    <definedName name="Titre10" localSheetId="4">#REF!</definedName>
    <definedName name="Titre10" localSheetId="12">#REF!</definedName>
    <definedName name="Titre10" localSheetId="2">#REF!</definedName>
    <definedName name="Titre10" localSheetId="13">#REF!</definedName>
    <definedName name="Titre10" localSheetId="1">#REF!</definedName>
    <definedName name="Titre10" localSheetId="7">#REF!</definedName>
    <definedName name="Titre10" localSheetId="6">#REF!</definedName>
    <definedName name="Titre10" localSheetId="5">#REF!</definedName>
    <definedName name="Titre10" localSheetId="3">#REF!</definedName>
    <definedName name="Titre10" localSheetId="11">#REF!</definedName>
    <definedName name="Titre10" localSheetId="10">#REF!</definedName>
    <definedName name="Titre10" localSheetId="9">#REF!</definedName>
    <definedName name="Titre10">#REF!</definedName>
    <definedName name="Titre11" localSheetId="8">#REF!</definedName>
    <definedName name="Titre11" localSheetId="4">#REF!</definedName>
    <definedName name="Titre11" localSheetId="12">#REF!</definedName>
    <definedName name="Titre11" localSheetId="2">#REF!</definedName>
    <definedName name="Titre11" localSheetId="13">#REF!</definedName>
    <definedName name="Titre11" localSheetId="1">#REF!</definedName>
    <definedName name="Titre11" localSheetId="7">#REF!</definedName>
    <definedName name="Titre11" localSheetId="6">#REF!</definedName>
    <definedName name="Titre11" localSheetId="5">#REF!</definedName>
    <definedName name="Titre11" localSheetId="3">#REF!</definedName>
    <definedName name="Titre11" localSheetId="11">#REF!</definedName>
    <definedName name="Titre11" localSheetId="10">#REF!</definedName>
    <definedName name="Titre11" localSheetId="9">#REF!</definedName>
    <definedName name="Titre11">#REF!</definedName>
    <definedName name="Titre12" localSheetId="8">Décembre678910111214[[#Headers],[Nom des locataires]]</definedName>
    <definedName name="Titre12" localSheetId="4">Décembre6789[[#Headers],[Nom des locataires]]</definedName>
    <definedName name="Titre12" localSheetId="12">Décembre67891011121415161718[[#Headers],[Nom des locataires]]</definedName>
    <definedName name="Titre12" localSheetId="2">Décembre67[[#Headers],[Nom des locataires]]</definedName>
    <definedName name="Titre12" localSheetId="13">Décembre678910111214151617182[[#Headers],[Nom des locataires]]</definedName>
    <definedName name="Titre12" localSheetId="1">Décembre6[[#Headers],[Nom des locataires]]</definedName>
    <definedName name="Titre12" localSheetId="7">Décembre6789101112[[#Headers],[Nom des locataires]]</definedName>
    <definedName name="Titre12" localSheetId="6">Décembre67891011[[#Headers],[Nom des locataires]]</definedName>
    <definedName name="Titre12" localSheetId="5">Décembre678910[[#Headers],[Nom des locataires]]</definedName>
    <definedName name="Titre12" localSheetId="3">Décembre678[[#Headers],[Nom des locataires]]</definedName>
    <definedName name="Titre12" localSheetId="11">Décembre678910111214151617[[#Headers],[Nom des locataires]]</definedName>
    <definedName name="Titre12" localSheetId="10">Décembre6789101112141516[[#Headers],[Nom des locataires]]</definedName>
    <definedName name="Titre12" localSheetId="9">Décembre67891011121415[[#Headers],[Nom des locataires]]</definedName>
    <definedName name="Titre12">Décembre[[#Headers],[Nom des locataires]]</definedName>
    <definedName name="Titre2" localSheetId="8">#REF!</definedName>
    <definedName name="Titre2" localSheetId="4">#REF!</definedName>
    <definedName name="Titre2" localSheetId="12">#REF!</definedName>
    <definedName name="Titre2" localSheetId="2">#REF!</definedName>
    <definedName name="Titre2" localSheetId="13">#REF!</definedName>
    <definedName name="Titre2" localSheetId="1">#REF!</definedName>
    <definedName name="Titre2" localSheetId="7">#REF!</definedName>
    <definedName name="Titre2" localSheetId="6">#REF!</definedName>
    <definedName name="Titre2" localSheetId="5">#REF!</definedName>
    <definedName name="Titre2" localSheetId="3">#REF!</definedName>
    <definedName name="Titre2" localSheetId="11">#REF!</definedName>
    <definedName name="Titre2" localSheetId="10">#REF!</definedName>
    <definedName name="Titre2" localSheetId="9">#REF!</definedName>
    <definedName name="Titre2">#REF!</definedName>
    <definedName name="Titre3" localSheetId="8">#REF!</definedName>
    <definedName name="Titre3" localSheetId="4">#REF!</definedName>
    <definedName name="Titre3" localSheetId="12">#REF!</definedName>
    <definedName name="Titre3" localSheetId="2">#REF!</definedName>
    <definedName name="Titre3" localSheetId="13">#REF!</definedName>
    <definedName name="Titre3" localSheetId="1">#REF!</definedName>
    <definedName name="Titre3" localSheetId="7">#REF!</definedName>
    <definedName name="Titre3" localSheetId="6">#REF!</definedName>
    <definedName name="Titre3" localSheetId="5">#REF!</definedName>
    <definedName name="Titre3" localSheetId="3">#REF!</definedName>
    <definedName name="Titre3" localSheetId="11">#REF!</definedName>
    <definedName name="Titre3" localSheetId="10">#REF!</definedName>
    <definedName name="Titre3" localSheetId="9">#REF!</definedName>
    <definedName name="Titre3">#REF!</definedName>
    <definedName name="Titre4" localSheetId="8">#REF!</definedName>
    <definedName name="Titre4" localSheetId="4">#REF!</definedName>
    <definedName name="Titre4" localSheetId="12">#REF!</definedName>
    <definedName name="Titre4" localSheetId="2">#REF!</definedName>
    <definedName name="Titre4" localSheetId="13">#REF!</definedName>
    <definedName name="Titre4" localSheetId="1">#REF!</definedName>
    <definedName name="Titre4" localSheetId="7">#REF!</definedName>
    <definedName name="Titre4" localSheetId="6">#REF!</definedName>
    <definedName name="Titre4" localSheetId="5">#REF!</definedName>
    <definedName name="Titre4" localSheetId="3">#REF!</definedName>
    <definedName name="Titre4" localSheetId="11">#REF!</definedName>
    <definedName name="Titre4" localSheetId="10">#REF!</definedName>
    <definedName name="Titre4" localSheetId="9">#REF!</definedName>
    <definedName name="Titre4">#REF!</definedName>
    <definedName name="Titre5" localSheetId="8">#REF!</definedName>
    <definedName name="Titre5" localSheetId="4">#REF!</definedName>
    <definedName name="Titre5" localSheetId="12">#REF!</definedName>
    <definedName name="Titre5" localSheetId="2">#REF!</definedName>
    <definedName name="Titre5" localSheetId="13">#REF!</definedName>
    <definedName name="Titre5" localSheetId="1">#REF!</definedName>
    <definedName name="Titre5" localSheetId="7">#REF!</definedName>
    <definedName name="Titre5" localSheetId="6">#REF!</definedName>
    <definedName name="Titre5" localSheetId="5">#REF!</definedName>
    <definedName name="Titre5" localSheetId="3">#REF!</definedName>
    <definedName name="Titre5" localSheetId="11">#REF!</definedName>
    <definedName name="Titre5" localSheetId="10">#REF!</definedName>
    <definedName name="Titre5" localSheetId="9">#REF!</definedName>
    <definedName name="Titre5">#REF!</definedName>
    <definedName name="Titre6" localSheetId="8">#REF!</definedName>
    <definedName name="Titre6" localSheetId="4">#REF!</definedName>
    <definedName name="Titre6" localSheetId="12">#REF!</definedName>
    <definedName name="Titre6" localSheetId="2">#REF!</definedName>
    <definedName name="Titre6" localSheetId="13">#REF!</definedName>
    <definedName name="Titre6" localSheetId="1">#REF!</definedName>
    <definedName name="Titre6" localSheetId="7">#REF!</definedName>
    <definedName name="Titre6" localSheetId="6">#REF!</definedName>
    <definedName name="Titre6" localSheetId="5">#REF!</definedName>
    <definedName name="Titre6" localSheetId="3">#REF!</definedName>
    <definedName name="Titre6" localSheetId="11">#REF!</definedName>
    <definedName name="Titre6" localSheetId="10">#REF!</definedName>
    <definedName name="Titre6" localSheetId="9">#REF!</definedName>
    <definedName name="Titre6">#REF!</definedName>
    <definedName name="Titre7" localSheetId="8">#REF!</definedName>
    <definedName name="Titre7" localSheetId="4">#REF!</definedName>
    <definedName name="Titre7" localSheetId="12">#REF!</definedName>
    <definedName name="Titre7" localSheetId="2">#REF!</definedName>
    <definedName name="Titre7" localSheetId="13">#REF!</definedName>
    <definedName name="Titre7" localSheetId="1">#REF!</definedName>
    <definedName name="Titre7" localSheetId="7">#REF!</definedName>
    <definedName name="Titre7" localSheetId="6">#REF!</definedName>
    <definedName name="Titre7" localSheetId="5">#REF!</definedName>
    <definedName name="Titre7" localSheetId="3">#REF!</definedName>
    <definedName name="Titre7" localSheetId="11">#REF!</definedName>
    <definedName name="Titre7" localSheetId="10">#REF!</definedName>
    <definedName name="Titre7" localSheetId="9">#REF!</definedName>
    <definedName name="Titre7">#REF!</definedName>
    <definedName name="Titre8" localSheetId="8">#REF!</definedName>
    <definedName name="Titre8" localSheetId="4">#REF!</definedName>
    <definedName name="Titre8" localSheetId="12">#REF!</definedName>
    <definedName name="Titre8" localSheetId="2">#REF!</definedName>
    <definedName name="Titre8" localSheetId="13">#REF!</definedName>
    <definedName name="Titre8" localSheetId="1">#REF!</definedName>
    <definedName name="Titre8" localSheetId="7">#REF!</definedName>
    <definedName name="Titre8" localSheetId="6">#REF!</definedName>
    <definedName name="Titre8" localSheetId="5">#REF!</definedName>
    <definedName name="Titre8" localSheetId="3">#REF!</definedName>
    <definedName name="Titre8" localSheetId="11">#REF!</definedName>
    <definedName name="Titre8" localSheetId="10">#REF!</definedName>
    <definedName name="Titre8" localSheetId="9">#REF!</definedName>
    <definedName name="Titre8">#REF!</definedName>
    <definedName name="Titre9" localSheetId="8">#REF!</definedName>
    <definedName name="Titre9" localSheetId="4">#REF!</definedName>
    <definedName name="Titre9" localSheetId="12">#REF!</definedName>
    <definedName name="Titre9" localSheetId="2">#REF!</definedName>
    <definedName name="Titre9" localSheetId="13">#REF!</definedName>
    <definedName name="Titre9" localSheetId="1">#REF!</definedName>
    <definedName name="Titre9" localSheetId="7">#REF!</definedName>
    <definedName name="Titre9" localSheetId="6">#REF!</definedName>
    <definedName name="Titre9" localSheetId="5">#REF!</definedName>
    <definedName name="Titre9" localSheetId="3">#REF!</definedName>
    <definedName name="Titre9" localSheetId="11">#REF!</definedName>
    <definedName name="Titre9" localSheetId="10">#REF!</definedName>
    <definedName name="Titre9" localSheetId="9">#REF!</definedName>
    <definedName name="Titre9">#REF!</definedName>
    <definedName name="TitreColonne13" localSheetId="13">#REF!</definedName>
    <definedName name="TitreColonne1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9" i="36" l="1"/>
  <c r="AG11" i="42"/>
  <c r="AF11" i="42"/>
  <c r="AE11" i="42"/>
  <c r="AD11" i="42"/>
  <c r="AC11" i="42"/>
  <c r="AB11" i="42"/>
  <c r="AA11" i="42"/>
  <c r="Z11" i="42"/>
  <c r="Y11" i="42"/>
  <c r="X11" i="42"/>
  <c r="W11" i="42"/>
  <c r="V11" i="42"/>
  <c r="U11" i="42"/>
  <c r="T11" i="42"/>
  <c r="S11" i="42"/>
  <c r="R11" i="42"/>
  <c r="Q11" i="42"/>
  <c r="P11" i="42"/>
  <c r="O11" i="42"/>
  <c r="N11" i="42"/>
  <c r="M11" i="42"/>
  <c r="L11" i="42"/>
  <c r="K11" i="42"/>
  <c r="J11" i="42"/>
  <c r="I11" i="42"/>
  <c r="H11" i="42"/>
  <c r="G11" i="42"/>
  <c r="F11" i="42"/>
  <c r="E11" i="42"/>
  <c r="D11" i="42"/>
  <c r="C11" i="42"/>
  <c r="AH10" i="42"/>
  <c r="AJ10" i="42"/>
  <c r="AH9" i="42"/>
  <c r="AH11" i="42"/>
  <c r="AJ8" i="42"/>
  <c r="AJ7" i="42"/>
  <c r="AJ9" i="42"/>
  <c r="AI7" i="37"/>
  <c r="C20" i="31"/>
  <c r="C14" i="31"/>
  <c r="AJ9" i="31"/>
  <c r="B25" i="30"/>
  <c r="C14" i="30"/>
  <c r="C14" i="29"/>
  <c r="B24" i="29"/>
  <c r="B22" i="15"/>
  <c r="C13" i="15"/>
  <c r="B23" i="15"/>
  <c r="C11" i="15"/>
  <c r="D11" i="15"/>
  <c r="E11" i="15"/>
  <c r="F11" i="15"/>
  <c r="G11" i="15"/>
  <c r="H11" i="15"/>
  <c r="I11" i="15"/>
  <c r="J11" i="15"/>
  <c r="K11" i="15"/>
  <c r="L11" i="15"/>
  <c r="M11" i="15"/>
  <c r="N11" i="15"/>
  <c r="O11" i="15"/>
  <c r="P11" i="15"/>
  <c r="Q11" i="15"/>
  <c r="R11" i="15"/>
  <c r="S11" i="15"/>
  <c r="T11" i="15"/>
  <c r="U11" i="15"/>
  <c r="V11" i="15"/>
  <c r="W11" i="15"/>
  <c r="X11" i="15"/>
  <c r="Y11" i="15"/>
  <c r="Z11" i="15"/>
  <c r="AA11" i="15"/>
  <c r="AB11" i="15"/>
  <c r="AC11" i="15"/>
  <c r="AD11" i="15"/>
  <c r="AE11" i="15"/>
  <c r="AF11" i="15"/>
  <c r="AG11" i="15"/>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AH10" i="40"/>
  <c r="AJ10" i="40"/>
  <c r="AH9" i="40"/>
  <c r="AH11" i="40"/>
  <c r="AJ8" i="40"/>
  <c r="AJ7" i="40"/>
  <c r="AF11" i="39"/>
  <c r="AE11" i="39"/>
  <c r="AD11" i="39"/>
  <c r="AC11" i="39"/>
  <c r="AB11" i="39"/>
  <c r="AA11" i="39"/>
  <c r="Z11" i="39"/>
  <c r="Y11" i="39"/>
  <c r="X11" i="39"/>
  <c r="W11" i="39"/>
  <c r="V11" i="39"/>
  <c r="U11" i="39"/>
  <c r="T11" i="39"/>
  <c r="S11" i="39"/>
  <c r="R11" i="39"/>
  <c r="Q11" i="39"/>
  <c r="P11" i="39"/>
  <c r="O11" i="39"/>
  <c r="N11" i="39"/>
  <c r="M11" i="39"/>
  <c r="L11" i="39"/>
  <c r="K11" i="39"/>
  <c r="J11" i="39"/>
  <c r="I11" i="39"/>
  <c r="H11" i="39"/>
  <c r="G11" i="39"/>
  <c r="F11" i="39"/>
  <c r="E11" i="39"/>
  <c r="D11" i="39"/>
  <c r="C11" i="39"/>
  <c r="AI10" i="39"/>
  <c r="AG11" i="39"/>
  <c r="AI8" i="39"/>
  <c r="AI7" i="39"/>
  <c r="AG11" i="38"/>
  <c r="AF11" i="38"/>
  <c r="AE11" i="38"/>
  <c r="AD11" i="38"/>
  <c r="AC11" i="38"/>
  <c r="AB11" i="38"/>
  <c r="AA11" i="38"/>
  <c r="Z11" i="38"/>
  <c r="Y11" i="38"/>
  <c r="X11" i="38"/>
  <c r="W11" i="38"/>
  <c r="V11" i="38"/>
  <c r="U11" i="38"/>
  <c r="T11" i="38"/>
  <c r="S11" i="38"/>
  <c r="R11" i="38"/>
  <c r="Q11" i="38"/>
  <c r="P11" i="38"/>
  <c r="O11" i="38"/>
  <c r="N11" i="38"/>
  <c r="M11" i="38"/>
  <c r="L11" i="38"/>
  <c r="K11" i="38"/>
  <c r="J11" i="38"/>
  <c r="I11" i="38"/>
  <c r="H11" i="38"/>
  <c r="G11" i="38"/>
  <c r="F11" i="38"/>
  <c r="E11" i="38"/>
  <c r="D11" i="38"/>
  <c r="C11" i="38"/>
  <c r="AH10" i="38"/>
  <c r="AJ10" i="38"/>
  <c r="AH9" i="38"/>
  <c r="AH11" i="38"/>
  <c r="AJ8" i="38"/>
  <c r="AJ7" i="38"/>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D11" i="37"/>
  <c r="C11" i="37"/>
  <c r="AI10" i="37"/>
  <c r="AG11" i="37"/>
  <c r="AI8" i="37"/>
  <c r="AG11" i="36"/>
  <c r="AF11" i="36"/>
  <c r="AE11" i="36"/>
  <c r="AD11" i="36"/>
  <c r="AC11" i="36"/>
  <c r="AB11" i="36"/>
  <c r="AA11" i="36"/>
  <c r="Z11" i="36"/>
  <c r="Y11" i="36"/>
  <c r="X11" i="36"/>
  <c r="W11" i="36"/>
  <c r="V11" i="36"/>
  <c r="U11" i="36"/>
  <c r="T11" i="36"/>
  <c r="S11" i="36"/>
  <c r="R11" i="36"/>
  <c r="Q11" i="36"/>
  <c r="P11" i="36"/>
  <c r="O11" i="36"/>
  <c r="N11" i="36"/>
  <c r="M11" i="36"/>
  <c r="L11" i="36"/>
  <c r="K11" i="36"/>
  <c r="J11" i="36"/>
  <c r="I11" i="36"/>
  <c r="H11" i="36"/>
  <c r="G11" i="36"/>
  <c r="F11" i="36"/>
  <c r="E11" i="36"/>
  <c r="D11" i="36"/>
  <c r="C11" i="36"/>
  <c r="AH10" i="36"/>
  <c r="AJ10" i="36"/>
  <c r="AJ8" i="36"/>
  <c r="AJ7" i="36"/>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D11" i="35"/>
  <c r="C11" i="35"/>
  <c r="AH10" i="35"/>
  <c r="AJ10" i="35"/>
  <c r="AH9" i="35"/>
  <c r="AH11" i="35"/>
  <c r="AJ7" i="35"/>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C11" i="34"/>
  <c r="AI10" i="34"/>
  <c r="AG11" i="34"/>
  <c r="AI8" i="34"/>
  <c r="AI7" i="34"/>
  <c r="AG11" i="33"/>
  <c r="AF11" i="33"/>
  <c r="AE11" i="33"/>
  <c r="AD11" i="33"/>
  <c r="AC11" i="33"/>
  <c r="AB11" i="33"/>
  <c r="AA11" i="33"/>
  <c r="Z11" i="33"/>
  <c r="Y11" i="33"/>
  <c r="X11" i="33"/>
  <c r="W11" i="33"/>
  <c r="V11" i="33"/>
  <c r="U11" i="33"/>
  <c r="T11" i="33"/>
  <c r="S11" i="33"/>
  <c r="R11" i="33"/>
  <c r="Q11" i="33"/>
  <c r="P11" i="33"/>
  <c r="O11" i="33"/>
  <c r="N11" i="33"/>
  <c r="M11" i="33"/>
  <c r="L11" i="33"/>
  <c r="K11" i="33"/>
  <c r="J11" i="33"/>
  <c r="I11" i="33"/>
  <c r="H11" i="33"/>
  <c r="G11" i="33"/>
  <c r="F11" i="33"/>
  <c r="E11" i="33"/>
  <c r="D11" i="33"/>
  <c r="C11" i="33"/>
  <c r="AH10" i="33"/>
  <c r="AJ10" i="33"/>
  <c r="AH9" i="33"/>
  <c r="AH11" i="33"/>
  <c r="AJ8" i="33"/>
  <c r="AJ7" i="33"/>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F11" i="32"/>
  <c r="E11" i="32"/>
  <c r="D11" i="32"/>
  <c r="C11" i="32"/>
  <c r="AI10" i="32"/>
  <c r="AG11" i="32"/>
  <c r="AI8" i="32"/>
  <c r="AI7" i="32"/>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AH10" i="31"/>
  <c r="AJ10" i="31"/>
  <c r="AJ8" i="31"/>
  <c r="AJ7" i="31"/>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AH10" i="30"/>
  <c r="AF11" i="30"/>
  <c r="AH8" i="30"/>
  <c r="AH7" i="30"/>
  <c r="AG11"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AH10" i="29"/>
  <c r="AJ10" i="29"/>
  <c r="AH9" i="29"/>
  <c r="AJ8" i="15"/>
  <c r="AJ7" i="15"/>
  <c r="AH11" i="36"/>
  <c r="AH11" i="31"/>
  <c r="AJ9" i="29"/>
  <c r="AJ11" i="29"/>
  <c r="B21" i="29"/>
  <c r="AH11" i="29"/>
  <c r="AJ9" i="40"/>
  <c r="AI9" i="39"/>
  <c r="AJ9" i="38"/>
  <c r="AI9" i="37"/>
  <c r="AJ9" i="35"/>
  <c r="AI9" i="34"/>
  <c r="AJ9" i="33"/>
  <c r="AI9" i="32"/>
  <c r="AH9" i="30"/>
  <c r="AH9" i="15"/>
  <c r="AJ9" i="15"/>
  <c r="AH10" i="15"/>
  <c r="AJ10" i="15"/>
  <c r="AH11" i="15"/>
</calcChain>
</file>

<file path=xl/sharedStrings.xml><?xml version="1.0" encoding="utf-8"?>
<sst xmlns="http://schemas.openxmlformats.org/spreadsheetml/2006/main" count="1127" uniqueCount="120">
  <si>
    <t>Janvier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</si>
  <si>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</si>
  <si>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</si>
  <si>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</si>
  <si>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</si>
  <si>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</si>
  <si>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</si>
  <si>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</si>
  <si>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</si>
  <si>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</si>
  <si>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</si>
  <si>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</si>
  <si>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</si>
  <si>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</si>
  <si>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</si>
  <si>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</si>
  <si>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</si>
  <si>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</si>
  <si>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</si>
  <si>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</si>
  <si>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</si>
  <si>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</si>
  <si>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</si>
  <si>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</si>
  <si>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</si>
  <si>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</si>
  <si>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</si>
  <si>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</si>
  <si>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</si>
  <si>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</si>
  <si>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</si>
  <si>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</si>
  <si>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Février</t>
  </si>
  <si>
    <t>Mars</t>
  </si>
  <si>
    <t>Avril</t>
  </si>
  <si>
    <t>Mai</t>
  </si>
  <si>
    <t>Juin</t>
  </si>
  <si>
    <t>Juillet</t>
  </si>
  <si>
    <t>Août</t>
  </si>
  <si>
    <t>Septembre</t>
  </si>
  <si>
    <t>Octobre</t>
  </si>
  <si>
    <t>Novembre</t>
  </si>
  <si>
    <t>Décembre</t>
  </si>
  <si>
    <t>R</t>
  </si>
  <si>
    <t>Réservé</t>
  </si>
  <si>
    <t>Réservations</t>
  </si>
  <si>
    <t>Nom des locataires</t>
  </si>
  <si>
    <t>Mme SEGA</t>
  </si>
  <si>
    <t>Mme PAYET</t>
  </si>
  <si>
    <t>Locataire</t>
  </si>
  <si>
    <t>mer</t>
  </si>
  <si>
    <t>jeu.</t>
  </si>
  <si>
    <t>ven.</t>
  </si>
  <si>
    <t>sam.</t>
  </si>
  <si>
    <t>dim.</t>
  </si>
  <si>
    <t>lun.</t>
  </si>
  <si>
    <t>mar.</t>
  </si>
  <si>
    <t>mer.</t>
  </si>
  <si>
    <t xml:space="preserve">Total </t>
  </si>
  <si>
    <t>Acompte</t>
  </si>
  <si>
    <t>Chèque de caution (CDC)</t>
  </si>
  <si>
    <t>CDC</t>
  </si>
  <si>
    <t>Commentaire</t>
  </si>
  <si>
    <t xml:space="preserve">Reste dû </t>
  </si>
  <si>
    <t>espèce</t>
  </si>
  <si>
    <t>Planning de réservation</t>
  </si>
  <si>
    <t>dim</t>
  </si>
  <si>
    <t>sam</t>
  </si>
  <si>
    <t>ven</t>
  </si>
  <si>
    <t>lun</t>
  </si>
  <si>
    <t>mar</t>
  </si>
  <si>
    <t>jeu</t>
  </si>
  <si>
    <t>Dany PASSAVANT</t>
  </si>
  <si>
    <t>Mme PAYET / 06 25 19 75 99</t>
  </si>
  <si>
    <t>Mme SEGA/ 06 81 25 35 08</t>
  </si>
  <si>
    <t>Mme PAYET/ 06 25 19 75 99
payet5marie-noe@orange.fr</t>
  </si>
  <si>
    <t>Pour les parents</t>
  </si>
  <si>
    <t>CF. décembre 2019</t>
  </si>
  <si>
    <t>avt locataire Mme Payet (25/12/19)</t>
  </si>
  <si>
    <t>M DECKER (06 89 77 07 51)
thierry.decker@aftral.com</t>
  </si>
  <si>
    <t>M DECKER</t>
  </si>
  <si>
    <t>Dany</t>
  </si>
  <si>
    <t>1 Locataire de janvier (M. Decker)</t>
  </si>
  <si>
    <t>Total "reste dû" mois en cours</t>
  </si>
  <si>
    <t>SIMONNET 06 90 62 69 28
jyaimess971@gmail.com</t>
  </si>
  <si>
    <t>Virginie COENT (géré par mes parents)</t>
  </si>
  <si>
    <t>Perçu par les parents en direct</t>
  </si>
  <si>
    <t>Réservation annulée Mme Caron : remboursement 150 euros</t>
  </si>
  <si>
    <t xml:space="preserve">Total : </t>
  </si>
  <si>
    <t>ok</t>
  </si>
  <si>
    <t>Emilien TRESCARTES / 06 32 74 78 59
emilientrescartes@gmail.com</t>
  </si>
  <si>
    <t>Lina/ AirBNB</t>
  </si>
  <si>
    <t>200 € - 60 €</t>
  </si>
  <si>
    <t>Mme Payet (du 25 au 31/12/ 2019) :</t>
  </si>
  <si>
    <t>gérés par Parents</t>
  </si>
  <si>
    <t>Lina</t>
  </si>
  <si>
    <t xml:space="preserve">60 euros ok pour Dany fait février </t>
  </si>
  <si>
    <t xml:space="preserve"> Récupéré avant les fêtes de fin d'année (avant le 25/12 , arrivée famille de Mme Payet)</t>
  </si>
  <si>
    <t xml:space="preserve">Air bnb </t>
  </si>
  <si>
    <t>cf. janvier 2020 (famille Mme Payet du 25 au 31/12/ 2019)</t>
  </si>
  <si>
    <t>Mme Payet (du 08 au 15/02/2020)</t>
  </si>
  <si>
    <t>Remis à Dany</t>
  </si>
  <si>
    <t>Air bnb</t>
  </si>
  <si>
    <t>Dany envoie 2 chèques de caution de 200 euros à Dany : aux parents / parents envoient 1 chèque de 150 euros (120 + jeu de draps)</t>
  </si>
  <si>
    <t>Lina (air bnb)</t>
  </si>
  <si>
    <t xml:space="preserve">Mr Simmonet </t>
  </si>
  <si>
    <t>Faiza</t>
  </si>
  <si>
    <t>60€ pr Dany</t>
  </si>
  <si>
    <t>TRESCARTES</t>
  </si>
  <si>
    <r>
      <t xml:space="preserve">Mme CARON / </t>
    </r>
    <r>
      <rPr>
        <sz val="11"/>
        <color rgb="FFFF0000"/>
        <rFont val="Calibri (Corps)_x0000_"/>
      </rPr>
      <t>annulé</t>
    </r>
  </si>
  <si>
    <t>Reporté en septembre</t>
  </si>
  <si>
    <t>TECHER Luciane</t>
  </si>
  <si>
    <t>LILI (leboncoin)</t>
  </si>
  <si>
    <t>OK</t>
  </si>
  <si>
    <t xml:space="preserve">196€ + 90€ pr 2 nuits sup. </t>
  </si>
  <si>
    <t>neveu Mme Payet</t>
  </si>
  <si>
    <t>Attente acompte</t>
  </si>
  <si>
    <t>Location de Faïza reportée</t>
  </si>
  <si>
    <t>Franco</t>
  </si>
  <si>
    <t>AIR BNB 423,1 + 30 pr ménage à confirmer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</si>
</sst>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0\ &quot;€&quot;_);[Red]\(#,##0\ &quot;€&quot;\)"/>
    <numFmt numFmtId="165" formatCode="_(* #,##0_);_(* \(#,##0\);_(* &quot;-&quot;_);_(@_)"/>
    <numFmt numFmtId="166" formatCode="_(* #,##0.00_);_(* \(#,##0.00\);_(* &quot;-&quot;??_);_(@_)"/>
    <numFmt numFmtId="167" formatCode="0;0;"/>
    <numFmt numFmtId="168" formatCode="#,##0\ _€"/>
    <numFmt numFmtId="169" formatCode="#,##0\ &quot;€&quot;"/>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1" tint="4.9989318521683403E-2"/>
      <name val="Calibri"/>
      <family val="2"/>
      <scheme val="minor"/>
    </font>
    <font>
      <b/>
      <sz val="11"/>
      <color theme="1" tint="4.9989318521683403E-2"/>
      <name val="Calibri"/>
      <family val="2"/>
      <scheme val="minor"/>
    </font>
    <font>
      <sz val="11"/>
      <color rgb="FF0070C0"/>
      <name val="Calibri"/>
      <family val="2"/>
      <scheme val="minor"/>
    </font>
    <font>
      <sz val="11"/>
      <color rgb="FF000000"/>
      <name val="Calibri"/>
      <family val="2"/>
      <scheme val="minor"/>
    </font>
    <font>
      <sz val="11"/>
      <color rgb="FFFF0000"/>
      <name val="Calibri (Corps)_x0000_"/>
    </font>
  </fonts>
  <fills count="42">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79998168889431442"/>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6" tint="0.79998168889431442"/>
        <bgColor indexed="64"/>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0" tint="-0.14996795556505021"/>
      </top>
      <bottom style="thin">
        <color theme="0" tint="-0.14993743705557422"/>
      </bottom>
      <diagonal/>
    </border>
    <border>
      <left/>
      <right/>
      <top style="thin">
        <color theme="2" tint="-9.9917600024414813E-2"/>
      </top>
      <bottom style="thin">
        <color theme="2" tint="-9.9917600024414813E-2"/>
      </bottom>
      <diagonal/>
    </border>
    <border>
      <left/>
      <right/>
      <top style="thin">
        <color rgb="FFDEE0C9"/>
      </top>
      <bottom style="thin">
        <color rgb="FFDEE0C9"/>
      </bottom>
      <diagonal/>
    </border>
    <border>
      <left/>
      <right/>
      <top/>
      <bottom style="thin">
        <color rgb="FFDEE0C9"/>
      </bottom>
      <diagonal/>
    </border>
  </borders>
  <cellStyleXfs count="49">
    <xf numFmtId="0" fontId="0" fillId="0" borderId="0">
      <alignment horizontal="left" vertical="center"/>
    </xf>
    <xf numFmtId="0" fontId="6" fillId="0" borderId="0" applyNumberFormat="0" applyFill="0" applyBorder="0" applyProtection="0">
      <alignment vertical="top"/>
    </xf>
    <xf numFmtId="0" fontId="4" fillId="0" borderId="0" applyNumberFormat="0" applyFill="0" applyBorder="0" applyProtection="0">
      <alignment vertical="top"/>
    </xf>
    <xf numFmtId="0" fontId="5" fillId="2" borderId="0" applyNumberFormat="0" applyBorder="0" applyProtection="0">
      <alignment horizontal="center" vertical="center"/>
    </xf>
    <xf numFmtId="0" fontId="2" fillId="20" borderId="0" applyNumberFormat="0" applyProtection="0">
      <alignment horizontal="right" vertical="center" indent="1"/>
    </xf>
    <xf numFmtId="0" fontId="1" fillId="0" borderId="0" applyNumberFormat="0" applyFill="0" applyBorder="0" applyProtection="0">
      <alignment horizontal="left" vertical="center" indent="2"/>
    </xf>
    <xf numFmtId="0" fontId="3"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3"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3"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2" fillId="10" borderId="0" applyNumberFormat="0" applyBorder="0" applyAlignment="0" applyProtection="0"/>
    <xf numFmtId="0" fontId="3"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7" fillId="0" borderId="0">
      <alignment horizontal="center"/>
    </xf>
    <xf numFmtId="166"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8"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1" fillId="24" borderId="1" applyNumberFormat="0" applyAlignment="0" applyProtection="0"/>
    <xf numFmtId="0" fontId="12" fillId="25" borderId="2" applyNumberFormat="0" applyAlignment="0" applyProtection="0"/>
    <xf numFmtId="0" fontId="13" fillId="25" borderId="1" applyNumberFormat="0" applyAlignment="0" applyProtection="0"/>
    <xf numFmtId="0" fontId="14" fillId="0" borderId="3" applyNumberFormat="0" applyFill="0" applyAlignment="0" applyProtection="0"/>
    <xf numFmtId="0" fontId="15" fillId="26" borderId="4" applyNumberFormat="0" applyAlignment="0" applyProtection="0"/>
    <xf numFmtId="0" fontId="16" fillId="0" borderId="0" applyNumberFormat="0" applyFill="0" applyBorder="0" applyAlignment="0" applyProtection="0"/>
    <xf numFmtId="0" fontId="1" fillId="27" borderId="5" applyNumberFormat="0" applyFont="0" applyAlignment="0" applyProtection="0"/>
    <xf numFmtId="0" fontId="17" fillId="0" borderId="0" applyNumberForma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5">
    <xf numFmtId="0" fontId="0" fillId="0" borderId="0" xfId="0">
      <alignment horizontal="left" vertical="center"/>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2" fillId="13" borderId="0" xfId="23" applyFont="1" applyAlignment="1" applyProtection="1">
      <alignment horizontal="center" vertical="center"/>
    </xf>
    <xf numFmtId="1" fontId="1" fillId="0" borderId="0" xfId="25" applyFill="1" applyBorder="1" applyProtection="1">
      <alignment horizontal="center" vertical="center"/>
    </xf>
    <xf numFmtId="0" fontId="0" fillId="0" borderId="0" xfId="0" applyProtection="1">
      <alignment horizontal="left" vertical="center"/>
    </xf>
    <xf numFmtId="0" fontId="5" fillId="2" borderId="0" xfId="3" applyProtection="1">
      <alignment horizontal="center" vertical="center"/>
    </xf>
    <xf numFmtId="167" fontId="0" fillId="0" borderId="0" xfId="0" applyNumberFormat="1" applyFont="1" applyFill="1" applyBorder="1" applyAlignment="1" applyProtection="1">
      <alignment horizontal="center" vertical="center"/>
    </xf>
    <xf numFmtId="0" fontId="6" fillId="0" borderId="0" xfId="1" applyAlignment="1" applyProtection="1">
      <alignment vertical="top"/>
    </xf>
    <xf numFmtId="0" fontId="0" fillId="0" borderId="0" xfId="21" applyFont="1" applyFill="1" applyBorder="1" applyAlignment="1" applyProtection="1">
      <alignment horizontal="center" vertical="center"/>
    </xf>
    <xf numFmtId="0" fontId="0" fillId="0" borderId="0" xfId="0" applyFont="1" applyFill="1" applyBorder="1" applyAlignment="1" applyProtection="1">
      <alignment horizontal="left" vertical="center" indent="1"/>
    </xf>
    <xf numFmtId="0" fontId="5" fillId="2" borderId="0" xfId="3" applyProtection="1">
      <alignment horizontal="center" vertical="center"/>
    </xf>
    <xf numFmtId="0" fontId="2" fillId="0" borderId="0" xfId="4" applyFill="1" applyProtection="1">
      <alignment horizontal="right" vertical="center" indent="1"/>
    </xf>
    <xf numFmtId="167" fontId="2" fillId="0" borderId="0" xfId="24" applyNumberFormat="1" applyFont="1" applyFill="1" applyAlignment="1" applyProtection="1">
      <alignment horizontal="center" vertical="center"/>
    </xf>
    <xf numFmtId="0" fontId="0" fillId="2" borderId="0" xfId="21" applyFont="1" applyBorder="1" applyAlignment="1" applyProtection="1">
      <alignment horizontal="left" vertical="center" indent="1"/>
    </xf>
    <xf numFmtId="0" fontId="0" fillId="0" borderId="0" xfId="26" applyFont="1" applyFill="1" applyBorder="1" applyProtection="1">
      <alignment horizontal="left" vertical="center" wrapText="1" indent="2"/>
    </xf>
    <xf numFmtId="0" fontId="0" fillId="33" borderId="0" xfId="0" applyFont="1" applyFill="1" applyBorder="1" applyAlignment="1" applyProtection="1">
      <alignment horizontal="center" vertical="center"/>
    </xf>
    <xf numFmtId="0" fontId="18" fillId="35" borderId="0" xfId="0" applyFont="1" applyFill="1" applyAlignment="1" applyProtection="1">
      <alignment horizontal="center" vertical="center"/>
    </xf>
    <xf numFmtId="164" fontId="0" fillId="34" borderId="0" xfId="0" applyNumberFormat="1" applyFill="1" applyBorder="1" applyAlignment="1" applyProtection="1">
      <alignment horizontal="center" vertical="center"/>
    </xf>
    <xf numFmtId="0" fontId="0" fillId="34" borderId="0" xfId="0" applyFill="1" applyBorder="1" applyAlignment="1" applyProtection="1">
      <alignment horizontal="center" vertical="center"/>
    </xf>
    <xf numFmtId="0" fontId="0" fillId="34" borderId="0" xfId="0" applyFont="1" applyFill="1" applyBorder="1" applyAlignment="1" applyProtection="1">
      <alignment horizontal="center" vertical="center"/>
    </xf>
    <xf numFmtId="0" fontId="18" fillId="36" borderId="0" xfId="0" applyFont="1" applyFill="1" applyAlignment="1" applyProtection="1">
      <alignment horizontal="center" vertical="center"/>
    </xf>
    <xf numFmtId="0" fontId="0" fillId="37" borderId="0" xfId="0" applyFill="1" applyAlignment="1" applyProtection="1">
      <alignment horizontal="center" vertical="center"/>
    </xf>
    <xf numFmtId="0" fontId="19" fillId="17" borderId="0" xfId="0" applyFont="1" applyFill="1" applyAlignment="1" applyProtection="1">
      <alignment horizontal="center" vertical="center"/>
    </xf>
    <xf numFmtId="164" fontId="2" fillId="17" borderId="0" xfId="0" applyNumberFormat="1" applyFont="1" applyFill="1" applyBorder="1" applyAlignment="1" applyProtection="1">
      <alignment horizontal="center" vertical="center"/>
    </xf>
    <xf numFmtId="0" fontId="0" fillId="0" borderId="7" xfId="26" applyFont="1" applyFill="1" applyBorder="1" applyAlignment="1">
      <alignment horizontal="left" vertical="center" wrapText="1" indent="2"/>
    </xf>
    <xf numFmtId="164" fontId="0" fillId="0" borderId="0" xfId="0" applyNumberFormat="1" applyProtection="1">
      <alignment horizontal="left" vertical="center"/>
    </xf>
    <xf numFmtId="0" fontId="2" fillId="38" borderId="6" xfId="21" applyFont="1" applyFill="1" applyBorder="1" applyAlignment="1">
      <alignment horizontal="left" vertical="center" indent="1"/>
    </xf>
    <xf numFmtId="0" fontId="0" fillId="39" borderId="0" xfId="26" applyFont="1" applyFill="1" applyBorder="1" applyAlignment="1">
      <alignment vertical="center" wrapText="1"/>
    </xf>
    <xf numFmtId="164" fontId="0" fillId="39" borderId="0" xfId="0" applyNumberFormat="1" applyFill="1" applyProtection="1">
      <alignment horizontal="left" vertical="center"/>
    </xf>
    <xf numFmtId="1" fontId="1" fillId="40" borderId="0" xfId="25" applyFill="1" applyBorder="1" applyProtection="1">
      <alignment horizontal="center" vertical="center"/>
    </xf>
    <xf numFmtId="167" fontId="0" fillId="40" borderId="0" xfId="0" applyNumberFormat="1" applyFont="1" applyFill="1" applyBorder="1" applyAlignment="1" applyProtection="1">
      <alignment horizontal="center" vertical="center"/>
    </xf>
    <xf numFmtId="169" fontId="2" fillId="40" borderId="0" xfId="25" applyNumberFormat="1" applyFont="1" applyFill="1" applyBorder="1" applyProtection="1">
      <alignment horizontal="center" vertical="center"/>
    </xf>
    <xf numFmtId="169" fontId="2" fillId="40" borderId="0" xfId="0" applyNumberFormat="1" applyFont="1" applyFill="1" applyBorder="1" applyAlignment="1" applyProtection="1">
      <alignment horizontal="center" vertical="center"/>
    </xf>
    <xf numFmtId="164" fontId="2" fillId="38" borderId="0" xfId="0" applyNumberFormat="1" applyFont="1" applyFill="1" applyAlignment="1" applyProtection="1">
      <alignment vertical="center"/>
    </xf>
    <xf numFmtId="168" fontId="0" fillId="0" borderId="0" xfId="0" applyNumberFormat="1" applyProtection="1">
      <alignment horizontal="left" vertical="center"/>
    </xf>
    <xf numFmtId="169" fontId="2" fillId="39" borderId="0" xfId="0" applyNumberFormat="1" applyFont="1" applyFill="1" applyAlignment="1" applyProtection="1">
      <alignment horizontal="center" vertical="center"/>
    </xf>
    <xf numFmtId="0" fontId="2" fillId="39" borderId="0" xfId="26" applyFont="1" applyFill="1" applyBorder="1" applyAlignment="1">
      <alignment vertical="center" wrapText="1"/>
    </xf>
    <xf numFmtId="169" fontId="0" fillId="40" borderId="0" xfId="0" applyNumberFormat="1" applyFont="1" applyFill="1" applyBorder="1" applyAlignment="1">
      <alignment horizontal="center" vertical="center"/>
    </xf>
    <xf numFmtId="164" fontId="0" fillId="38" borderId="0" xfId="0" applyNumberFormat="1" applyFont="1" applyFill="1" applyAlignment="1" applyProtection="1">
      <alignment horizontal="center" vertical="center"/>
    </xf>
    <xf numFmtId="169" fontId="2" fillId="17" borderId="0" xfId="0" applyNumberFormat="1" applyFont="1" applyFill="1" applyBorder="1" applyAlignment="1" applyProtection="1">
      <alignment horizontal="center" vertical="center"/>
    </xf>
    <xf numFmtId="169" fontId="2" fillId="39" borderId="0" xfId="0" applyNumberFormat="1" applyFont="1" applyFill="1" applyBorder="1" applyAlignment="1" applyProtection="1">
      <alignment horizontal="center" vertical="center"/>
    </xf>
    <xf numFmtId="169" fontId="1" fillId="0" borderId="0" xfId="25" applyNumberFormat="1" applyFill="1" applyBorder="1" applyProtection="1">
      <alignment horizontal="center" vertical="center"/>
    </xf>
    <xf numFmtId="169" fontId="0" fillId="34" borderId="0" xfId="0" applyNumberFormat="1" applyFill="1" applyBorder="1" applyAlignment="1" applyProtection="1">
      <alignment horizontal="center" vertical="center"/>
    </xf>
    <xf numFmtId="169" fontId="0" fillId="0" borderId="0" xfId="0" applyNumberFormat="1" applyFont="1" applyFill="1" applyBorder="1" applyAlignment="1" applyProtection="1">
      <alignment horizontal="center" vertical="center"/>
    </xf>
    <xf numFmtId="169" fontId="0" fillId="34" borderId="0" xfId="0" applyNumberFormat="1" applyFont="1" applyFill="1" applyBorder="1" applyAlignment="1" applyProtection="1">
      <alignment horizontal="center" vertical="center"/>
    </xf>
    <xf numFmtId="14" fontId="0" fillId="0" borderId="0" xfId="0" applyNumberFormat="1" applyProtection="1">
      <alignment horizontal="left" vertical="center"/>
    </xf>
    <xf numFmtId="169" fontId="0" fillId="39" borderId="0" xfId="0" applyNumberFormat="1" applyFont="1" applyFill="1" applyBorder="1" applyAlignment="1">
      <alignment horizontal="center" vertical="center"/>
    </xf>
    <xf numFmtId="17" fontId="0" fillId="0" borderId="0" xfId="0" applyNumberFormat="1" applyProtection="1">
      <alignment horizontal="left" vertical="center"/>
    </xf>
    <xf numFmtId="0" fontId="2" fillId="0" borderId="0" xfId="0" applyFont="1" applyProtection="1">
      <alignment horizontal="left" vertical="center"/>
    </xf>
    <xf numFmtId="169" fontId="0" fillId="39" borderId="0" xfId="0" applyNumberFormat="1" applyFont="1" applyFill="1" applyAlignment="1" applyProtection="1">
      <alignment horizontal="center" vertical="center"/>
    </xf>
    <xf numFmtId="169" fontId="0" fillId="38" borderId="0" xfId="0" applyNumberFormat="1" applyFont="1" applyFill="1" applyBorder="1" applyAlignment="1">
      <alignment horizontal="center" vertical="center"/>
    </xf>
    <xf numFmtId="0" fontId="0" fillId="34" borderId="0" xfId="0" applyFill="1" applyAlignment="1" applyProtection="1">
      <alignment horizontal="center" vertical="center"/>
    </xf>
    <xf numFmtId="0" fontId="20" fillId="0" borderId="0" xfId="0" applyFont="1" applyProtection="1">
      <alignment horizontal="left" vertical="center"/>
    </xf>
    <xf numFmtId="164" fontId="0" fillId="34" borderId="0" xfId="0" applyNumberFormat="1" applyFont="1" applyFill="1" applyBorder="1" applyAlignment="1" applyProtection="1">
      <alignment horizontal="center" vertical="center"/>
    </xf>
    <xf numFmtId="0" fontId="21" fillId="0" borderId="8" xfId="0" applyFont="1" applyBorder="1" applyAlignment="1">
      <alignment horizontal="left" vertical="center" wrapText="1" indent="2"/>
    </xf>
    <xf numFmtId="168" fontId="21" fillId="0" borderId="0" xfId="0" applyNumberFormat="1" applyFont="1">
      <alignment horizontal="left" vertical="center"/>
    </xf>
    <xf numFmtId="0" fontId="21" fillId="0" borderId="9" xfId="0" applyFont="1" applyBorder="1" applyAlignment="1">
      <alignment horizontal="left" vertical="center" wrapText="1" indent="2"/>
    </xf>
    <xf numFmtId="169" fontId="2" fillId="39" borderId="0" xfId="0" applyNumberFormat="1" applyFont="1" applyFill="1" applyProtection="1">
      <alignment horizontal="left" vertical="center"/>
    </xf>
    <xf numFmtId="164" fontId="16" fillId="34" borderId="0" xfId="0" applyNumberFormat="1" applyFont="1" applyFill="1" applyBorder="1" applyAlignment="1" applyProtection="1">
      <alignment horizontal="center" vertical="center"/>
    </xf>
    <xf numFmtId="0" fontId="1" fillId="0" borderId="0" xfId="26" applyFont="1" applyFill="1" applyBorder="1" applyProtection="1">
      <alignment horizontal="left" vertical="center" wrapText="1" indent="2"/>
    </xf>
    <xf numFmtId="0" fontId="5" fillId="2" borderId="0" xfId="3" applyProtection="1">
      <alignment horizontal="center" vertical="center"/>
    </xf>
    <xf numFmtId="0" fontId="0" fillId="41" borderId="0" xfId="26" applyFont="1" applyFill="1" applyBorder="1" applyProtection="1">
      <alignment horizontal="left" vertical="center" wrapText="1" indent="2"/>
    </xf>
    <xf numFmtId="0" fontId="0" fillId="41" borderId="0" xfId="0" applyFont="1" applyFill="1" applyBorder="1" applyAlignment="1" applyProtection="1">
      <alignment horizontal="center" vertical="center"/>
    </xf>
    <xf numFmtId="1" fontId="1" fillId="41" borderId="0" xfId="25" applyFill="1" applyBorder="1" applyProtection="1">
      <alignment horizontal="center" vertical="center"/>
    </xf>
    <xf numFmtId="164" fontId="0" fillId="41" borderId="0" xfId="0" applyNumberFormat="1" applyFill="1" applyBorder="1" applyAlignment="1" applyProtection="1">
      <alignment horizontal="center" vertical="center"/>
    </xf>
    <xf numFmtId="164" fontId="2" fillId="41" borderId="0" xfId="0" applyNumberFormat="1" applyFont="1" applyFill="1" applyBorder="1" applyAlignment="1" applyProtection="1">
      <alignment horizontal="center" vertical="center"/>
    </xf>
    <xf numFmtId="164" fontId="2" fillId="38" borderId="0" xfId="0" applyNumberFormat="1" applyFont="1" applyFill="1" applyAlignment="1" applyProtection="1">
      <alignment horizontal="center" vertical="center"/>
    </xf>
    <xf numFmtId="0" fontId="5" fillId="2" borderId="0" xfId="3" applyProtection="1">
      <alignment horizontal="center" vertical="center"/>
    </xf>
    <xf numFmtId="0" fontId="0" fillId="2" borderId="0" xfId="21" applyFont="1" applyAlignment="1" applyProtection="1">
      <alignment horizontal="left" vertical="center"/>
    </xf>
    <xf numFmtId="0" fontId="1" fillId="2" borderId="0" xfId="21" applyAlignment="1" applyProtection="1">
      <alignment horizontal="left" vertical="center"/>
    </xf>
    <xf numFmtId="0" fontId="1" fillId="0" borderId="0" xfId="21" applyFill="1" applyAlignment="1" applyProtection="1">
      <alignment horizontal="left" vertical="center"/>
    </xf>
    <xf numFmtId="0" fontId="0" fillId="2" borderId="0" xfId="21" applyFont="1" applyAlignment="1" applyProtection="1">
      <alignment horizontal="center" vertical="center"/>
    </xf>
  </cellXfs>
  <cellStyles count="49">
    <cellStyle name="20 % - Accent1" xfId="15" builtinId="30" customBuiltin="1"/>
    <cellStyle name="20 % - Accent2" xfId="44" builtinId="34" customBuiltin="1"/>
    <cellStyle name="20 % - Accent3" xfId="21" builtinId="38" customBuiltin="1"/>
    <cellStyle name="20 % - Accent4" xfId="7" builtinId="42" customBuiltin="1"/>
    <cellStyle name="20 % - Accent5" xfId="47" builtinId="46" customBuiltin="1"/>
    <cellStyle name="20 % - Accent6" xfId="11" builtinId="50" customBuiltin="1"/>
    <cellStyle name="40 % - Accent1" xfId="16" builtinId="31" customBuiltin="1"/>
    <cellStyle name="40 % - Accent2" xfId="19" builtinId="35" customBuiltin="1"/>
    <cellStyle name="40 % - Accent3" xfId="22" builtinId="39" customBuiltin="1"/>
    <cellStyle name="40 % - Accent4" xfId="8" builtinId="43" customBuiltin="1"/>
    <cellStyle name="40 % - Accent5" xfId="24" builtinId="47" customBuiltin="1"/>
    <cellStyle name="40 % - Accent6" xfId="12" builtinId="51" customBuiltin="1"/>
    <cellStyle name="60 % - Accent1" xfId="17" builtinId="32" customBuiltin="1"/>
    <cellStyle name="60 % - Accent2" xfId="45" builtinId="36" customBuiltin="1"/>
    <cellStyle name="60 % - Accent3" xfId="23" builtinId="40" customBuiltin="1"/>
    <cellStyle name="60 % - Accent4" xfId="9" builtinId="44" customBuiltin="1"/>
    <cellStyle name="60 % - Accent5" xfId="48" builtinId="48" customBuiltin="1"/>
    <cellStyle name="60 %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5" xfId="46" builtinId="45" customBuiltin="1"/>
    <cellStyle name="Accent6" xfId="10" builtinId="49" customBuiltin="1"/>
    <cellStyle name="Avertissement" xfId="41" builtinId="11" customBuiltin="1"/>
    <cellStyle name="Calcul" xfId="38" builtinId="22" customBuiltin="1"/>
    <cellStyle name="Cellule liée" xfId="39" builtinId="24" customBuiltin="1"/>
    <cellStyle name="Commentaire" xfId="42" builtinId="10" customBuiltin="1"/>
    <cellStyle name="Employé" xfId="26" xr:uid="{00000000-0005-0000-0000-000013000000}"/>
    <cellStyle name="Entrée" xfId="36" builtinId="20" customBuiltin="1"/>
    <cellStyle name="Étiquette" xfId="27" xr:uid="{00000000-0005-0000-0000-000018000000}"/>
    <cellStyle name="Insatisfaisant" xfId="34" builtinId="27" customBuiltin="1"/>
    <cellStyle name="Milliers" xfId="28" builtinId="3" customBuiltin="1"/>
    <cellStyle name="Milliers [0]" xfId="29" builtinId="6" customBuiltin="1"/>
    <cellStyle name="Monétaire" xfId="30" builtinId="4" customBuiltin="1"/>
    <cellStyle name="Monétaire [0]" xfId="31" builtinId="7" customBuiltin="1"/>
    <cellStyle name="Neutre" xfId="35" builtinId="28" customBuiltin="1"/>
    <cellStyle name="Normal" xfId="0" builtinId="0" customBuiltin="1"/>
    <cellStyle name="Pourcentage" xfId="32" builtinId="5" customBuiltin="1"/>
    <cellStyle name="Satisfaisant" xfId="33" builtinId="26" customBuiltin="1"/>
    <cellStyle name="Sortie" xfId="37" builtinId="21" customBuiltin="1"/>
    <cellStyle name="Texte explicatif" xfId="43"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25" builtinId="25" customBuiltin="1"/>
    <cellStyle name="Vérification" xfId="40" builtinId="23" customBuiltin="1"/>
  </cellStyles>
  <dxfs count="1183">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9"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9"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9"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9" formatCode="#,##0\ &quot;€&quot;"/>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9" formatCode="#,##0\ &quot;€&quot;"/>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9"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9"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9"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9"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9" formatCode="#,##0\ &quot;€&quot;"/>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family val="2"/>
        <scheme val="minor"/>
      </font>
      <numFmt numFmtId="169" formatCode="#,##0\ &quot;€&quot;"/>
      <fill>
        <patternFill patternType="solid">
          <fgColor indexed="64"/>
          <bgColor theme="5"/>
        </patternFill>
      </fill>
      <alignment horizontal="center" vertical="center" textRotation="0" wrapText="0" indent="0" justifyLastLine="0" shrinkToFit="0" readingOrder="0"/>
      <border diagonalUp="0" diagonalDown="0" outline="0">
        <left/>
        <right/>
        <top/>
        <bottom/>
      </border>
      <protection locked="1" hidden="0"/>
    </dxf>
    <dxf>
      <font>
        <b/>
      </font>
      <numFmt numFmtId="169"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family val="2"/>
        <scheme val="minor"/>
      </font>
      <numFmt numFmtId="169" formatCode="#,##0\ &quot;€&quot;"/>
      <fill>
        <patternFill patternType="solid">
          <fgColor indexed="64"/>
          <bgColor theme="6" tint="0.79998168889431442"/>
        </patternFill>
      </fill>
      <alignment horizontal="center" vertical="center" textRotation="0" wrapText="0" indent="0" justifyLastLine="0" shrinkToFit="0" readingOrder="0"/>
      <border diagonalUp="0" diagonalDown="0" outline="0">
        <left/>
        <right/>
        <top/>
        <bottom/>
      </border>
      <protection locked="1" hidden="0"/>
    </dxf>
    <dxf>
      <font>
        <b/>
      </font>
      <numFmt numFmtId="169" formatCode="#,##0\ &quot;€&quot;"/>
      <fill>
        <patternFill patternType="solid">
          <fgColor indexed="64"/>
          <bgColor theme="6" tint="0.79998168889431442"/>
        </patternFill>
      </fill>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64"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64"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6" tint="0.79998168889431442"/>
        </patternFill>
      </fill>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PivotStyle="PivotStyleLight16">
    <tableStyle name="Tableau des absences des employés" pivot="0" count="13" xr9:uid="{00000000-0011-0000-FFFF-FFFF00000000}">
      <tableStyleElement type="wholeTable" dxfId="1182"/>
      <tableStyleElement type="headerRow" dxfId="1181"/>
      <tableStyleElement type="totalRow" dxfId="1180"/>
      <tableStyleElement type="firstColumn" dxfId="1179"/>
      <tableStyleElement type="lastColumn" dxfId="1178"/>
      <tableStyleElement type="firstRowStripe" dxfId="1177"/>
      <tableStyleElement type="secondRowStripe" dxfId="1176"/>
      <tableStyleElement type="firstColumnStripe" dxfId="1175"/>
      <tableStyleElement type="secondColumnStripe" dxfId="1174"/>
      <tableStyleElement type="firstHeaderCell" dxfId="1173"/>
      <tableStyleElement type="lastHeaderCell" dxfId="1172"/>
      <tableStyleElement type="firstTotalCell" dxfId="1171"/>
      <tableStyleElement type="lastTotalCell" dxfId="11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écembre" displayName="Décembre" ref="B6:AL11" totalsRowCount="1" headerRowDxfId="1164" dataDxfId="1163" totalsRowDxfId="1162">
  <tableColumns count="37">
    <tableColumn id="1" xr3:uid="{00000000-0010-0000-0B00-000001000000}" name="Nom des locataires" dataDxfId="1161" totalsRowDxfId="1160" dataCellStyle="Employé"/>
    <tableColumn id="2" xr3:uid="{00000000-0010-0000-0B00-000002000000}" name="1" totalsRowFunction="count" dataDxfId="1159" totalsRowDxfId="1158"/>
    <tableColumn id="3" xr3:uid="{00000000-0010-0000-0B00-000003000000}" name="2" totalsRowFunction="count" dataDxfId="1157" totalsRowDxfId="1156"/>
    <tableColumn id="4" xr3:uid="{00000000-0010-0000-0B00-000004000000}" name="3" totalsRowFunction="count" dataDxfId="1155" totalsRowDxfId="1154"/>
    <tableColumn id="5" xr3:uid="{00000000-0010-0000-0B00-000005000000}" name="4" totalsRowFunction="count" dataDxfId="1153" totalsRowDxfId="1152"/>
    <tableColumn id="6" xr3:uid="{00000000-0010-0000-0B00-000006000000}" name="5" totalsRowFunction="count" dataDxfId="1151" totalsRowDxfId="1150"/>
    <tableColumn id="7" xr3:uid="{00000000-0010-0000-0B00-000007000000}" name="6" totalsRowFunction="count" dataDxfId="1149" totalsRowDxfId="1148"/>
    <tableColumn id="8" xr3:uid="{00000000-0010-0000-0B00-000008000000}" name="7" totalsRowFunction="count" dataDxfId="1147" totalsRowDxfId="1146"/>
    <tableColumn id="9" xr3:uid="{00000000-0010-0000-0B00-000009000000}" name="8" totalsRowFunction="count" dataDxfId="1145" totalsRowDxfId="1144"/>
    <tableColumn id="10" xr3:uid="{00000000-0010-0000-0B00-00000A000000}" name="9" totalsRowFunction="count" dataDxfId="1143" totalsRowDxfId="1142"/>
    <tableColumn id="11" xr3:uid="{00000000-0010-0000-0B00-00000B000000}" name="10" totalsRowFunction="count" dataDxfId="1141" totalsRowDxfId="1140"/>
    <tableColumn id="12" xr3:uid="{00000000-0010-0000-0B00-00000C000000}" name="11" totalsRowFunction="count" dataDxfId="1139" totalsRowDxfId="1138"/>
    <tableColumn id="13" xr3:uid="{00000000-0010-0000-0B00-00000D000000}" name="12" totalsRowFunction="count" dataDxfId="1137" totalsRowDxfId="1136"/>
    <tableColumn id="14" xr3:uid="{00000000-0010-0000-0B00-00000E000000}" name="13" totalsRowFunction="count" dataDxfId="1135" totalsRowDxfId="1134"/>
    <tableColumn id="15" xr3:uid="{00000000-0010-0000-0B00-00000F000000}" name="14" totalsRowFunction="count" dataDxfId="1133" totalsRowDxfId="1132"/>
    <tableColumn id="16" xr3:uid="{00000000-0010-0000-0B00-000010000000}" name="15" totalsRowFunction="count" dataDxfId="1131" totalsRowDxfId="1130"/>
    <tableColumn id="17" xr3:uid="{00000000-0010-0000-0B00-000011000000}" name="16" totalsRowFunction="count" dataDxfId="1129" totalsRowDxfId="1128"/>
    <tableColumn id="18" xr3:uid="{00000000-0010-0000-0B00-000012000000}" name="17" totalsRowFunction="count" dataDxfId="1127" totalsRowDxfId="1126"/>
    <tableColumn id="19" xr3:uid="{00000000-0010-0000-0B00-000013000000}" name="18" totalsRowFunction="count" dataDxfId="1125" totalsRowDxfId="1124"/>
    <tableColumn id="20" xr3:uid="{00000000-0010-0000-0B00-000014000000}" name="19" totalsRowFunction="count" dataDxfId="1123" totalsRowDxfId="1122"/>
    <tableColumn id="21" xr3:uid="{00000000-0010-0000-0B00-000015000000}" name="20" totalsRowFunction="count" dataDxfId="1121" totalsRowDxfId="1120"/>
    <tableColumn id="22" xr3:uid="{00000000-0010-0000-0B00-000016000000}" name="21" totalsRowFunction="count" dataDxfId="1119" totalsRowDxfId="1118"/>
    <tableColumn id="23" xr3:uid="{00000000-0010-0000-0B00-000017000000}" name="22" totalsRowFunction="count" dataDxfId="1117" totalsRowDxfId="1116"/>
    <tableColumn id="24" xr3:uid="{00000000-0010-0000-0B00-000018000000}" name="23" totalsRowFunction="count" dataDxfId="1115" totalsRowDxfId="1114"/>
    <tableColumn id="25" xr3:uid="{00000000-0010-0000-0B00-000019000000}" name="24" totalsRowFunction="count" dataDxfId="1113" totalsRowDxfId="1112"/>
    <tableColumn id="26" xr3:uid="{00000000-0010-0000-0B00-00001A000000}" name="25" totalsRowFunction="count" dataDxfId="1111" totalsRowDxfId="1110"/>
    <tableColumn id="27" xr3:uid="{00000000-0010-0000-0B00-00001B000000}" name="26" totalsRowFunction="count" dataDxfId="1109" totalsRowDxfId="1108"/>
    <tableColumn id="28" xr3:uid="{00000000-0010-0000-0B00-00001C000000}" name="27" totalsRowFunction="count" dataDxfId="1107" totalsRowDxfId="1106"/>
    <tableColumn id="29" xr3:uid="{00000000-0010-0000-0B00-00001D000000}" name="28" totalsRowFunction="count" dataDxfId="1105" totalsRowDxfId="1104"/>
    <tableColumn id="30" xr3:uid="{00000000-0010-0000-0B00-00001E000000}" name="29" totalsRowFunction="count" dataDxfId="1103" totalsRowDxfId="1102"/>
    <tableColumn id="31" xr3:uid="{00000000-0010-0000-0B00-00001F000000}" name="30" totalsRowFunction="count" dataDxfId="1101" totalsRowDxfId="1100"/>
    <tableColumn id="32" xr3:uid="{00000000-0010-0000-0B00-000020000000}" name="31" totalsRowFunction="count" dataDxfId="1099" totalsRowDxfId="1098"/>
    <tableColumn id="33" xr3:uid="{00000000-0010-0000-0B00-000021000000}" name="Total " totalsRowFunction="sum" dataDxfId="1097">
      <calculatedColumnFormula>COUNTA(Décembre[[#This Row],[1]:[31]])</calculatedColumnFormula>
    </tableColumn>
    <tableColumn id="34" xr3:uid="{5C51EE3C-464A-8546-8FD1-2F5B8A8F5B24}" name="Acompte" dataDxfId="1096" totalsRowDxfId="1095"/>
    <tableColumn id="37" xr3:uid="{190B857C-1026-D548-99F2-5ED78B316900}" name="Reste dû " dataDxfId="1094" totalsRowDxfId="1093">
      <calculatedColumnFormula>(AH7)-(AI7)</calculatedColumnFormula>
    </tableColumn>
    <tableColumn id="36" xr3:uid="{223B8E83-1857-0541-A47B-14028D41859C}" name="CDC" dataDxfId="1092" totalsRowDxfId="1091"/>
    <tableColumn id="35" xr3:uid="{63908CB8-F3D1-4945-BC05-CA0C03368390}" name="Commentaire" dataDxfId="1090" totalsRowDxfId="1089">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2254AE-0752-1C4F-AB77-0A6C646A444B}" name="Décembre6" displayName="Décembre6" ref="B6:AL11" totalsRowCount="1" headerRowDxfId="1083" dataDxfId="1082" totalsRowDxfId="1081">
  <tableColumns count="37">
    <tableColumn id="1" xr3:uid="{0931AFAC-2F9A-A14C-9277-6631C05963FE}" name="Nom des locataires" dataDxfId="1080" totalsRowDxfId="1079" dataCellStyle="Employé"/>
    <tableColumn id="2" xr3:uid="{EDEFBB69-B1A1-F54D-8B2F-C15783A584B2}" name="1" totalsRowFunction="count" dataDxfId="1078" totalsRowDxfId="1077"/>
    <tableColumn id="3" xr3:uid="{24913499-3FD0-A845-B7D3-8C30888681D9}" name="2" totalsRowFunction="count" dataDxfId="1076" totalsRowDxfId="1075"/>
    <tableColumn id="4" xr3:uid="{B691A4E7-3286-9F4D-803F-73A762BF2257}" name="3" totalsRowFunction="count" dataDxfId="1074" totalsRowDxfId="1073"/>
    <tableColumn id="5" xr3:uid="{76CD7DF7-F5D2-0545-94B1-A2EADC96E178}" name="4" totalsRowFunction="count" dataDxfId="1072" totalsRowDxfId="1071"/>
    <tableColumn id="6" xr3:uid="{77955250-7DAB-434A-8203-3C094EEB7A16}" name="5" totalsRowFunction="count" dataDxfId="1070" totalsRowDxfId="1069"/>
    <tableColumn id="7" xr3:uid="{0AABE112-1BB7-AC46-88FB-4B5DBBA69449}" name="6" totalsRowFunction="count" dataDxfId="1068" totalsRowDxfId="1067"/>
    <tableColumn id="8" xr3:uid="{E54239C5-51D9-4B47-ABCA-4A9C173833EC}" name="7" totalsRowFunction="count" dataDxfId="1066" totalsRowDxfId="1065"/>
    <tableColumn id="9" xr3:uid="{5A9FBF73-BCDE-754C-8B42-36E7B3D09CC8}" name="8" totalsRowFunction="count" dataDxfId="1064" totalsRowDxfId="1063"/>
    <tableColumn id="10" xr3:uid="{783EE14F-9C85-2B4B-8241-4F3F1DA4937D}" name="9" totalsRowFunction="count" dataDxfId="1062" totalsRowDxfId="1061"/>
    <tableColumn id="11" xr3:uid="{AF7DEACD-183E-6145-8AE0-6E077F5F6301}" name="10" totalsRowFunction="count" dataDxfId="1060" totalsRowDxfId="1059"/>
    <tableColumn id="12" xr3:uid="{0199EF3C-A8D2-D34A-B250-D7CCACF26D72}" name="11" totalsRowFunction="count" dataDxfId="1058" totalsRowDxfId="1057"/>
    <tableColumn id="13" xr3:uid="{969D156A-E48E-934A-B9EF-AC46A79C63C1}" name="12" totalsRowFunction="count" dataDxfId="1056" totalsRowDxfId="1055"/>
    <tableColumn id="14" xr3:uid="{06FF620A-EEB0-434A-A934-A71558653401}" name="13" totalsRowFunction="count" dataDxfId="1054" totalsRowDxfId="1053"/>
    <tableColumn id="15" xr3:uid="{CE648405-D0FA-3243-B8D4-ABAE4AFC6FBF}" name="14" totalsRowFunction="count" dataDxfId="1052" totalsRowDxfId="1051"/>
    <tableColumn id="16" xr3:uid="{34D143D5-168D-314E-879D-22BB961E1C4D}" name="15" totalsRowFunction="count" dataDxfId="1050" totalsRowDxfId="1049"/>
    <tableColumn id="17" xr3:uid="{908AECE3-CE1E-1B47-AEA1-A9E6694F80EB}" name="16" totalsRowFunction="count" dataDxfId="1048" totalsRowDxfId="1047"/>
    <tableColumn id="18" xr3:uid="{DCC7415E-C022-A943-80B5-4EB2DA7D939C}" name="17" totalsRowFunction="count" dataDxfId="1046" totalsRowDxfId="1045"/>
    <tableColumn id="19" xr3:uid="{D584843B-D9BB-5041-B18C-4480C510C1FC}" name="18" totalsRowFunction="count" dataDxfId="1044" totalsRowDxfId="1043"/>
    <tableColumn id="20" xr3:uid="{74EC2DA3-C44C-764E-B781-E39B17389580}" name="19" totalsRowFunction="count" dataDxfId="1042" totalsRowDxfId="1041"/>
    <tableColumn id="21" xr3:uid="{8424A15A-33FD-CA4F-B582-2C64BD7BD523}" name="20" totalsRowFunction="count" dataDxfId="1040" totalsRowDxfId="1039"/>
    <tableColumn id="22" xr3:uid="{83492147-E918-A648-8206-795427F3142C}" name="21" totalsRowFunction="count" dataDxfId="1038" totalsRowDxfId="1037"/>
    <tableColumn id="23" xr3:uid="{2FE70CDB-0757-A648-8093-672FF738CD41}" name="22" totalsRowFunction="count" dataDxfId="1036" totalsRowDxfId="1035"/>
    <tableColumn id="24" xr3:uid="{9F346B58-4509-2F4A-B7B0-BCC6BC14FD37}" name="23" totalsRowFunction="count" dataDxfId="1034" totalsRowDxfId="1033"/>
    <tableColumn id="25" xr3:uid="{24017D37-2DFF-C842-A25D-618C0BE862E3}" name="24" totalsRowFunction="count" dataDxfId="1032" totalsRowDxfId="1031"/>
    <tableColumn id="26" xr3:uid="{24D8576E-4B29-BD4B-A01D-242DAC37A1BF}" name="25" totalsRowFunction="count" dataDxfId="1030" totalsRowDxfId="1029"/>
    <tableColumn id="27" xr3:uid="{AAFEA96C-CA8F-F444-BBB8-96F96F088077}" name="26" totalsRowFunction="count" dataDxfId="1028" totalsRowDxfId="1027"/>
    <tableColumn id="28" xr3:uid="{0C782DD1-0C33-C941-9A4A-C40057E33055}" name="27" totalsRowFunction="count" dataDxfId="1026" totalsRowDxfId="1025"/>
    <tableColumn id="29" xr3:uid="{ED4B7924-7C39-554A-9C4A-66CE07613226}" name="28" totalsRowFunction="count" dataDxfId="1024" totalsRowDxfId="1023"/>
    <tableColumn id="30" xr3:uid="{3A00D096-71AA-C34E-9E0A-F6B7FBF3D614}" name="29" totalsRowFunction="count" dataDxfId="1022" totalsRowDxfId="1021"/>
    <tableColumn id="31" xr3:uid="{84F7ABE3-14F8-CF44-8EFA-A396BCD2AADE}" name="30" totalsRowFunction="count" dataDxfId="1020" totalsRowDxfId="1019"/>
    <tableColumn id="32" xr3:uid="{3E91F7C6-5D54-AE44-8937-01F46B9B7B08}" name="31" totalsRowFunction="count" dataDxfId="1018" totalsRowDxfId="1017"/>
    <tableColumn id="33" xr3:uid="{2DC11714-7A50-5D4F-B8B6-425EC59BA55E}" name="Total " totalsRowFunction="sum" dataDxfId="1016" totalsRowDxfId="1015">
      <calculatedColumnFormula>COUNTA(Décembre6[[#This Row],[1]:[31]])</calculatedColumnFormula>
    </tableColumn>
    <tableColumn id="34" xr3:uid="{ABD44D32-C5D7-FE43-A76C-EF2FDFFB9EB5}" name="Acompte" dataDxfId="1014" totalsRowDxfId="1013"/>
    <tableColumn id="37" xr3:uid="{6A5B7604-F51F-094E-AC9A-4BC980658DC2}" name="Reste dû " totalsRowFunction="custom" dataDxfId="1012" totalsRowDxfId="1011">
      <calculatedColumnFormula>AH7-AI7</calculatedColumnFormula>
      <totalsRowFormula>SUM(Décembre6[[Reste dû ]])</totalsRowFormula>
    </tableColumn>
    <tableColumn id="36" xr3:uid="{4FE14BB9-0F88-AC40-8C5D-A06D514E9D99}" name="CDC" dataDxfId="1010" totalsRowDxfId="1009"/>
    <tableColumn id="35" xr3:uid="{38BD1D4B-8E0F-294D-B594-CCD5DF8A80AB}" name="Commentaire" dataDxfId="1008" totalsRowDxfId="1007">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10D5D-0893-8E4A-8558-9B06664B3F16}" name="Décembre67" displayName="Décembre67" ref="B6:AJ11" totalsRowCount="1" headerRowDxfId="1001" dataDxfId="1000" totalsRowDxfId="999">
  <tableColumns count="35">
    <tableColumn id="1" xr3:uid="{D5525E2B-2199-F246-85B8-2F1D8A8D6AFB}" name="Nom des locataires" dataDxfId="998" totalsRowDxfId="997" dataCellStyle="Employé"/>
    <tableColumn id="2" xr3:uid="{1B57778D-C622-B847-AF45-965B574E3B97}" name="1" totalsRowFunction="count" dataDxfId="996" totalsRowDxfId="995"/>
    <tableColumn id="3" xr3:uid="{96C97737-FE8D-1D49-AADB-E819E293A586}" name="2" totalsRowFunction="count" dataDxfId="994" totalsRowDxfId="993"/>
    <tableColumn id="4" xr3:uid="{6ECABC92-F930-3D4C-B171-86106534BF23}" name="3" totalsRowFunction="count" dataDxfId="992" totalsRowDxfId="991"/>
    <tableColumn id="5" xr3:uid="{36F45F31-8135-4B49-AE01-CC58856D3DE4}" name="4" totalsRowFunction="count" dataDxfId="990" totalsRowDxfId="989"/>
    <tableColumn id="6" xr3:uid="{6E5389F1-AF43-1F4B-AE38-20CAB06CE4D0}" name="5" totalsRowFunction="count" dataDxfId="988" totalsRowDxfId="987"/>
    <tableColumn id="7" xr3:uid="{BE1658F1-170F-5942-BE93-3263A4BC9BFA}" name="6" totalsRowFunction="count" dataDxfId="986" totalsRowDxfId="985"/>
    <tableColumn id="8" xr3:uid="{08ADF520-9E4F-C145-AA21-4DFECA101FC8}" name="7" totalsRowFunction="count" dataDxfId="984" totalsRowDxfId="983"/>
    <tableColumn id="9" xr3:uid="{ED8A5CB1-F591-BF43-B6C8-678ED7E8A4C0}" name="8" totalsRowFunction="count" dataDxfId="982" totalsRowDxfId="981"/>
    <tableColumn id="10" xr3:uid="{2B40FF62-3E6F-234F-AB2D-26222604AF00}" name="9" totalsRowFunction="count" dataDxfId="980" totalsRowDxfId="979"/>
    <tableColumn id="11" xr3:uid="{D988C236-9885-A24B-9E1B-6F7B2B8CDAB5}" name="10" totalsRowFunction="count" dataDxfId="978" totalsRowDxfId="977"/>
    <tableColumn id="12" xr3:uid="{41D7DA17-73EE-DD41-8387-46CD01A6CB36}" name="11" totalsRowFunction="count" dataDxfId="976" totalsRowDxfId="975"/>
    <tableColumn id="13" xr3:uid="{CCA816E1-EC4F-0D46-B12B-D17C04D3EE79}" name="12" totalsRowFunction="count" dataDxfId="974" totalsRowDxfId="973"/>
    <tableColumn id="14" xr3:uid="{E9711FFA-1FCD-4E43-9651-503E6FB86DF5}" name="13" totalsRowFunction="count" dataDxfId="972" totalsRowDxfId="971"/>
    <tableColumn id="15" xr3:uid="{D2C1A374-6A1F-A346-AF7F-F8219968E751}" name="14" totalsRowFunction="count" dataDxfId="970" totalsRowDxfId="969"/>
    <tableColumn id="16" xr3:uid="{E36BA33F-D856-7A42-8168-ABFE6D149CB7}" name="15" totalsRowFunction="count" dataDxfId="968" totalsRowDxfId="967"/>
    <tableColumn id="17" xr3:uid="{7C0746D2-DF59-C64E-8F7B-CC7246BFD628}" name="16" totalsRowFunction="count" dataDxfId="966" totalsRowDxfId="965"/>
    <tableColumn id="18" xr3:uid="{1258FD26-2768-FB48-A8DC-638EF34A75CC}" name="17" totalsRowFunction="count" dataDxfId="964" totalsRowDxfId="963"/>
    <tableColumn id="19" xr3:uid="{CB6FE69B-3FF9-0541-846D-92990178C48B}" name="18" totalsRowFunction="count" dataDxfId="962" totalsRowDxfId="961"/>
    <tableColumn id="20" xr3:uid="{6FD2540C-EA4A-5344-B9FC-B894E94C53B7}" name="19" totalsRowFunction="count" dataDxfId="960" totalsRowDxfId="959"/>
    <tableColumn id="21" xr3:uid="{47231290-0232-9B47-8EEE-BE08E2F4E2B3}" name="20" totalsRowFunction="count" dataDxfId="958" totalsRowDxfId="957"/>
    <tableColumn id="22" xr3:uid="{F46F6136-2275-4544-93EC-29C23BAA04F5}" name="21" totalsRowFunction="count" dataDxfId="956" totalsRowDxfId="955"/>
    <tableColumn id="23" xr3:uid="{03ACFF06-3941-654D-A4C4-0D7E4DC92C0A}" name="22" totalsRowFunction="count" dataDxfId="954" totalsRowDxfId="953"/>
    <tableColumn id="24" xr3:uid="{C284796E-FED2-1947-9451-5BE746838721}" name="23" totalsRowFunction="count" dataDxfId="952" totalsRowDxfId="951"/>
    <tableColumn id="25" xr3:uid="{9BE8D295-7480-0E40-9742-7D93ED5DDCEC}" name="24" totalsRowFunction="count" dataDxfId="950" totalsRowDxfId="949"/>
    <tableColumn id="26" xr3:uid="{7761A352-8DD6-C14C-B285-69C03567874D}" name="25" totalsRowFunction="count" dataDxfId="948" totalsRowDxfId="947"/>
    <tableColumn id="27" xr3:uid="{BB4AB2F9-49FA-9545-89D3-037842E02BBE}" name="26" totalsRowFunction="count" dataDxfId="946" totalsRowDxfId="945"/>
    <tableColumn id="28" xr3:uid="{D3882601-C397-814C-847A-135BB1728B1F}" name="27" totalsRowFunction="count" dataDxfId="944" totalsRowDxfId="943"/>
    <tableColumn id="29" xr3:uid="{59C7843A-36EB-E549-97C0-145D95AB1D52}" name="28" totalsRowFunction="count" dataDxfId="942" totalsRowDxfId="941"/>
    <tableColumn id="30" xr3:uid="{53EE0E53-C879-8944-A4B0-D340317A9381}" name="29" totalsRowFunction="count" dataDxfId="940" totalsRowDxfId="939"/>
    <tableColumn id="33" xr3:uid="{D66F2594-1C51-BE41-9189-B7CA3720A01A}" name="Total " totalsRowFunction="sum" dataDxfId="938" totalsRowDxfId="937">
      <calculatedColumnFormula>COUNTA(#REF!)</calculatedColumnFormula>
    </tableColumn>
    <tableColumn id="34" xr3:uid="{DB48E0C8-5ACE-8749-92F0-484A4A066241}" name="Acompte" dataDxfId="936" totalsRowDxfId="935"/>
    <tableColumn id="37" xr3:uid="{1FF83531-E626-1E4E-9347-5D688DFB431F}" name="Reste dû " dataDxfId="934" totalsRowDxfId="933">
      <calculatedColumnFormula>(AF7)-(AG7)</calculatedColumnFormula>
    </tableColumn>
    <tableColumn id="36" xr3:uid="{281311FF-553D-8C43-B2BD-50DEE1DC99BA}" name="CDC" dataDxfId="932" totalsRowDxfId="931"/>
    <tableColumn id="35" xr3:uid="{CF82BFEA-7A51-C746-AE96-13D704C5C233}" name="Commentaire" dataDxfId="930" totalsRowDxfId="929">
      <calculatedColumnFormula>(AH7)-30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8C8952-7087-A248-8A99-387768D13580}" name="Décembre678" displayName="Décembre678" ref="B6:AL11" totalsRowCount="1" headerRowDxfId="923" dataDxfId="922" totalsRowDxfId="921">
  <tableColumns count="37">
    <tableColumn id="1" xr3:uid="{DBB06C11-ABC9-E643-949A-2060F13D4D23}" name="Nom des locataires" dataDxfId="920" totalsRowDxfId="919" dataCellStyle="Employé"/>
    <tableColumn id="2" xr3:uid="{6DF295F5-352F-3943-A07D-5FFFFAA407A2}" name="1" totalsRowFunction="count" dataDxfId="918" totalsRowDxfId="917"/>
    <tableColumn id="3" xr3:uid="{4425C3F8-8F50-994A-AB5E-D03BF9822C78}" name="2" totalsRowFunction="count" dataDxfId="916" totalsRowDxfId="915"/>
    <tableColumn id="4" xr3:uid="{6E14FD87-2F6F-5D4B-A103-77CF048BFCEE}" name="3" totalsRowFunction="count" dataDxfId="914" totalsRowDxfId="913"/>
    <tableColumn id="5" xr3:uid="{CE6BB617-9130-F74E-8066-22005E6D82BD}" name="4" totalsRowFunction="count" dataDxfId="912" totalsRowDxfId="911"/>
    <tableColumn id="6" xr3:uid="{35178061-3F9F-264D-8335-5F102B42DC4E}" name="5" totalsRowFunction="count" dataDxfId="910" totalsRowDxfId="909"/>
    <tableColumn id="7" xr3:uid="{FE5C070B-66C0-3347-BF56-A87926590C2F}" name="6" totalsRowFunction="count" dataDxfId="908" totalsRowDxfId="907"/>
    <tableColumn id="8" xr3:uid="{057758BB-908B-4D49-A869-EFA2A4BF2A78}" name="7" totalsRowFunction="count" dataDxfId="906" totalsRowDxfId="905"/>
    <tableColumn id="9" xr3:uid="{D901796B-75FB-DF43-A5EC-8785292897C8}" name="8" totalsRowFunction="count" dataDxfId="904" totalsRowDxfId="903"/>
    <tableColumn id="10" xr3:uid="{F540658A-FCAC-EA4E-B693-ED1603CBFE7D}" name="9" totalsRowFunction="count" dataDxfId="902" totalsRowDxfId="901"/>
    <tableColumn id="11" xr3:uid="{E778CFB7-B54D-2A43-A482-9A950BEB26A2}" name="10" totalsRowFunction="count" dataDxfId="900" totalsRowDxfId="899"/>
    <tableColumn id="12" xr3:uid="{67E6BA98-BE6E-2143-BD94-21FE30525EF6}" name="11" totalsRowFunction="count" dataDxfId="898" totalsRowDxfId="897"/>
    <tableColumn id="13" xr3:uid="{F6DE3E9E-D569-7846-9178-43052042DD21}" name="12" totalsRowFunction="count" dataDxfId="896" totalsRowDxfId="895"/>
    <tableColumn id="14" xr3:uid="{A3B67783-DD5B-9C4C-84A0-B662964E60FD}" name="13" totalsRowFunction="count" dataDxfId="894" totalsRowDxfId="893"/>
    <tableColumn id="15" xr3:uid="{9825F0A6-7FB5-884F-9CDE-EAE4F79FDFB3}" name="14" totalsRowFunction="count" dataDxfId="892" totalsRowDxfId="891"/>
    <tableColumn id="16" xr3:uid="{93606C3F-7BFC-D44A-BC17-952D2CD01C76}" name="15" totalsRowFunction="count" dataDxfId="890" totalsRowDxfId="889"/>
    <tableColumn id="17" xr3:uid="{DDBA3574-9F09-6B40-A7EE-4BC40984E5A5}" name="16" totalsRowFunction="count" dataDxfId="888" totalsRowDxfId="887"/>
    <tableColumn id="18" xr3:uid="{E4E376BA-1F4C-234D-B06E-CB80D7E2270B}" name="17" totalsRowFunction="count" dataDxfId="886" totalsRowDxfId="885"/>
    <tableColumn id="19" xr3:uid="{A08FFC96-4592-3C40-B02D-30EE51962F3B}" name="18" totalsRowFunction="count" dataDxfId="884" totalsRowDxfId="883"/>
    <tableColumn id="20" xr3:uid="{D9219A46-0CC6-7B41-84AC-44B079A24438}" name="19" totalsRowFunction="count" dataDxfId="882" totalsRowDxfId="881"/>
    <tableColumn id="21" xr3:uid="{F346B8E7-3597-E942-866D-324D17C76FFF}" name="20" totalsRowFunction="count" dataDxfId="880" totalsRowDxfId="879"/>
    <tableColumn id="22" xr3:uid="{6005D0CA-602D-7C48-832E-93DE2031A818}" name="21" totalsRowFunction="count" dataDxfId="878" totalsRowDxfId="877"/>
    <tableColumn id="23" xr3:uid="{5ED9D65A-24EB-964D-8D8C-655F59E9C969}" name="22" totalsRowFunction="count" dataDxfId="876" totalsRowDxfId="875"/>
    <tableColumn id="24" xr3:uid="{F27D2E6B-5709-244F-AA51-E5F80550FF12}" name="23" totalsRowFunction="count" dataDxfId="874" totalsRowDxfId="873"/>
    <tableColumn id="25" xr3:uid="{C19EB012-BB16-7D49-B3C3-2A9EF83CC411}" name="24" totalsRowFunction="count" dataDxfId="872" totalsRowDxfId="871"/>
    <tableColumn id="26" xr3:uid="{28B60DC4-D81D-1C49-BE23-2E38DC5307DC}" name="25" totalsRowFunction="count" dataDxfId="870" totalsRowDxfId="869"/>
    <tableColumn id="27" xr3:uid="{3D0E4D78-8713-E840-AB62-894A3D49640F}" name="26" totalsRowFunction="count" dataDxfId="868" totalsRowDxfId="867"/>
    <tableColumn id="28" xr3:uid="{8C932EA3-A58D-BF47-A3A5-EAD54D96BE92}" name="27" totalsRowFunction="count" dataDxfId="866" totalsRowDxfId="865"/>
    <tableColumn id="29" xr3:uid="{EA1C2168-41DE-3745-9439-F15BF5E35A91}" name="28" totalsRowFunction="count" dataDxfId="864" totalsRowDxfId="863"/>
    <tableColumn id="30" xr3:uid="{12EA2F3F-9F6F-4843-A863-E497F299351D}" name="29" totalsRowFunction="count" dataDxfId="862" totalsRowDxfId="861"/>
    <tableColumn id="31" xr3:uid="{26512B58-D9F2-0C40-A8F7-58D07B99F9AC}" name="30" totalsRowFunction="count" dataDxfId="860" totalsRowDxfId="859"/>
    <tableColumn id="32" xr3:uid="{C2B2E8FB-ABAA-C64C-9C61-587060229AFE}" name="31" totalsRowFunction="count" dataDxfId="858" totalsRowDxfId="857"/>
    <tableColumn id="33" xr3:uid="{B824B0E6-D6EF-CB41-A536-0171018A57DD}" name="Total " totalsRowFunction="sum" dataDxfId="856" totalsRowDxfId="855">
      <calculatedColumnFormula>COUNTA(Décembre678[[#This Row],[1]:[31]])</calculatedColumnFormula>
    </tableColumn>
    <tableColumn id="34" xr3:uid="{6A8C1BC3-B52B-F94A-A8F2-AEE32295FE85}" name="Acompte" dataDxfId="854" totalsRowDxfId="853"/>
    <tableColumn id="37" xr3:uid="{569224B6-160F-964F-AE31-762C7ADA6675}" name="Reste dû " dataDxfId="852" totalsRowDxfId="851">
      <calculatedColumnFormula>(AH7)-(AI7)</calculatedColumnFormula>
    </tableColumn>
    <tableColumn id="36" xr3:uid="{B28E696D-339F-ED4D-9B37-6DB0DBFFD8F6}" name="CDC" dataDxfId="850" totalsRowDxfId="849"/>
    <tableColumn id="35" xr3:uid="{54D49D2F-E523-4548-B0A7-CE72DA8CE83A}" name="Commentaire" dataDxfId="848" totalsRowDxfId="847">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194DE6-8F46-E34A-A23F-9A2702E75844}" name="Décembre6789" displayName="Décembre6789" ref="B6:AK11" totalsRowCount="1" headerRowDxfId="826" dataDxfId="825" totalsRowDxfId="824">
  <tableColumns count="36">
    <tableColumn id="1" xr3:uid="{BD501540-6708-9740-8DEC-2C6D7E415DAB}" name="Nom des locataires" dataDxfId="823" totalsRowDxfId="822" dataCellStyle="Employé"/>
    <tableColumn id="2" xr3:uid="{9928FC79-33F9-834C-9CA8-B398D0D02A89}" name="1" totalsRowFunction="count" dataDxfId="821" totalsRowDxfId="820"/>
    <tableColumn id="3" xr3:uid="{D6400BCA-CAB3-0B43-96E1-803728A99F0B}" name="2" totalsRowFunction="count" dataDxfId="819" totalsRowDxfId="818"/>
    <tableColumn id="4" xr3:uid="{B8AB6FD1-1788-894F-8803-E43C087BFF38}" name="3" totalsRowFunction="count" dataDxfId="817" totalsRowDxfId="816"/>
    <tableColumn id="5" xr3:uid="{4821800F-9FD7-9E45-8EAF-A049334C62BB}" name="4" totalsRowFunction="count" dataDxfId="815" totalsRowDxfId="814"/>
    <tableColumn id="6" xr3:uid="{216D842F-76A4-714E-80FF-AD3928147DBC}" name="5" totalsRowFunction="count" dataDxfId="813" totalsRowDxfId="812"/>
    <tableColumn id="7" xr3:uid="{63E27DEA-B4BD-3640-8A1B-5224723EA494}" name="6" totalsRowFunction="count" dataDxfId="811" totalsRowDxfId="810"/>
    <tableColumn id="8" xr3:uid="{B02CAD8E-FD2B-1247-8A2D-B19F06ED3B86}" name="7" totalsRowFunction="count" dataDxfId="809" totalsRowDxfId="808"/>
    <tableColumn id="9" xr3:uid="{3134C816-125F-ED47-A843-77AF47640EB9}" name="8" totalsRowFunction="count" dataDxfId="807" totalsRowDxfId="806"/>
    <tableColumn id="10" xr3:uid="{7A337A9E-5351-4748-971B-E242970DB538}" name="9" totalsRowFunction="count" dataDxfId="805" totalsRowDxfId="804"/>
    <tableColumn id="11" xr3:uid="{92B5C118-045C-BC4E-81E1-4E7586CAED5D}" name="10" totalsRowFunction="count" dataDxfId="803" totalsRowDxfId="802"/>
    <tableColumn id="12" xr3:uid="{B5E40D8D-9531-E24E-9B82-200D046A4F38}" name="11" totalsRowFunction="count" dataDxfId="801" totalsRowDxfId="800"/>
    <tableColumn id="13" xr3:uid="{1EED9376-6AA6-BA4F-A262-147436F60E70}" name="12" totalsRowFunction="count" dataDxfId="799" totalsRowDxfId="798"/>
    <tableColumn id="14" xr3:uid="{84D70F1B-9B32-BC47-9B28-A6581468BC78}" name="13" totalsRowFunction="count" dataDxfId="797" totalsRowDxfId="796"/>
    <tableColumn id="15" xr3:uid="{96F20609-F975-3044-8537-BF7F5ACC60B2}" name="14" totalsRowFunction="count" dataDxfId="795" totalsRowDxfId="794"/>
    <tableColumn id="16" xr3:uid="{ABF12091-5652-9641-8287-1EA41DDB01F9}" name="15" totalsRowFunction="count" dataDxfId="793" totalsRowDxfId="792"/>
    <tableColumn id="17" xr3:uid="{786DF04E-E162-1243-8994-387011F7A521}" name="16" totalsRowFunction="count" dataDxfId="791" totalsRowDxfId="790"/>
    <tableColumn id="18" xr3:uid="{FBCCBFF9-3B9D-C44F-A13F-2BE26C31B68F}" name="17" totalsRowFunction="count" dataDxfId="789" totalsRowDxfId="788"/>
    <tableColumn id="19" xr3:uid="{639A4623-7D63-A449-9E77-09EC093DBCC4}" name="18" totalsRowFunction="count" dataDxfId="787" totalsRowDxfId="786"/>
    <tableColumn id="20" xr3:uid="{11B2B5D0-99BF-5E4F-83A4-D7D40764EDB9}" name="19" totalsRowFunction="count" dataDxfId="785" totalsRowDxfId="784"/>
    <tableColumn id="21" xr3:uid="{D0D6E9B2-4B28-154A-921E-582C308F50B7}" name="20" totalsRowFunction="count" dataDxfId="783" totalsRowDxfId="782"/>
    <tableColumn id="22" xr3:uid="{706D2B3A-C0FD-7846-A15D-6A648D1D41B1}" name="21" totalsRowFunction="count" dataDxfId="781" totalsRowDxfId="780"/>
    <tableColumn id="23" xr3:uid="{EA738841-2EFB-5B42-AC7B-3AAEAD0055A2}" name="22" totalsRowFunction="count" dataDxfId="779" totalsRowDxfId="778"/>
    <tableColumn id="24" xr3:uid="{4DF2F1DB-DF28-3C47-98E1-D4D16E46C3A4}" name="23" totalsRowFunction="count" dataDxfId="777" totalsRowDxfId="776"/>
    <tableColumn id="25" xr3:uid="{6B463934-7369-FA44-9BBA-27A17D7C70C5}" name="24" totalsRowFunction="count" dataDxfId="775" totalsRowDxfId="774"/>
    <tableColumn id="26" xr3:uid="{56228AC6-6A05-ED41-88D9-FAEEC3D4E49A}" name="25" totalsRowFunction="count" dataDxfId="773" totalsRowDxfId="772"/>
    <tableColumn id="27" xr3:uid="{655EEAF2-1335-F84A-BE9A-1EF1628E3426}" name="26" totalsRowFunction="count" dataDxfId="771" totalsRowDxfId="770"/>
    <tableColumn id="28" xr3:uid="{64A7EF6E-703A-7640-9453-ADA28E78F24B}" name="27" totalsRowFunction="count" dataDxfId="769" totalsRowDxfId="768"/>
    <tableColumn id="29" xr3:uid="{DE66AD63-1934-9642-BD6D-57EBAF4E7010}" name="28" totalsRowFunction="count" dataDxfId="767" totalsRowDxfId="766"/>
    <tableColumn id="30" xr3:uid="{94CCEEA0-00FF-494D-A68C-9D3D499131F5}" name="29" totalsRowFunction="count" dataDxfId="765" totalsRowDxfId="764"/>
    <tableColumn id="31" xr3:uid="{99FDE5CE-656B-AD49-97B6-7891A50E546C}" name="30" totalsRowFunction="count" dataDxfId="763" totalsRowDxfId="762"/>
    <tableColumn id="33" xr3:uid="{6A6BE9EC-8C2D-7D4D-AE48-26F6DD002EA6}" name="Total " totalsRowFunction="sum" dataDxfId="761" totalsRowDxfId="760">
      <calculatedColumnFormula>COUNTA(#REF!)</calculatedColumnFormula>
    </tableColumn>
    <tableColumn id="34" xr3:uid="{791646FF-E8CB-B747-96A8-69791DA98BB4}" name="Acompte" dataDxfId="759" totalsRowDxfId="758"/>
    <tableColumn id="37" xr3:uid="{5BC9436A-6CAC-B643-BF93-EDEF3FB2D2BD}" name="Reste dû " dataDxfId="757" totalsRowDxfId="756">
      <calculatedColumnFormula>(AG7)-(AH7)</calculatedColumnFormula>
    </tableColumn>
    <tableColumn id="36" xr3:uid="{CF2020BA-FED0-444B-8C55-7662A5247019}" name="CDC" dataDxfId="755" totalsRowDxfId="754"/>
    <tableColumn id="35" xr3:uid="{AAF0DA55-01BE-EF44-A170-2CE467C53EF2}" name="Commentaire" dataDxfId="753" totalsRowDxfId="752">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050C70-1501-4143-89E7-F163CB99B5B1}" name="Décembre678910" displayName="Décembre678910" ref="B6:AL11" totalsRowCount="1" headerRowDxfId="746" dataDxfId="745" totalsRowDxfId="744">
  <tableColumns count="37">
    <tableColumn id="1" xr3:uid="{8A0E07DA-ADC8-C64D-A098-3CD6FEB718F3}" name="Nom des locataires" dataDxfId="743" totalsRowDxfId="742" dataCellStyle="Employé"/>
    <tableColumn id="2" xr3:uid="{1C918B2B-291D-2F4B-BD42-5889AA185E41}" name="1" totalsRowFunction="count" dataDxfId="741" totalsRowDxfId="740"/>
    <tableColumn id="3" xr3:uid="{48C8D20B-6D9B-984F-9967-EF0B99F755A1}" name="2" totalsRowFunction="count" dataDxfId="739" totalsRowDxfId="738"/>
    <tableColumn id="4" xr3:uid="{48536EF0-25B7-1641-AB28-AB9AE97E65F5}" name="3" totalsRowFunction="count" dataDxfId="737" totalsRowDxfId="736"/>
    <tableColumn id="5" xr3:uid="{FC200252-0793-384D-BC8B-1647D0FFA59F}" name="4" totalsRowFunction="count" dataDxfId="735" totalsRowDxfId="734"/>
    <tableColumn id="6" xr3:uid="{69A7010B-4DED-9247-A28F-557CA719EAEA}" name="5" totalsRowFunction="count" dataDxfId="733" totalsRowDxfId="732"/>
    <tableColumn id="7" xr3:uid="{58BED4F7-3954-454A-8D62-C19124526BEB}" name="6" totalsRowFunction="count" dataDxfId="731" totalsRowDxfId="730"/>
    <tableColumn id="8" xr3:uid="{A8B0AB81-1539-A142-A877-064D7D6880C6}" name="7" totalsRowFunction="count" dataDxfId="729" totalsRowDxfId="728"/>
    <tableColumn id="9" xr3:uid="{BF39C458-A7BB-CA4B-915E-A0AF1374F1D6}" name="8" totalsRowFunction="count" dataDxfId="727" totalsRowDxfId="726"/>
    <tableColumn id="10" xr3:uid="{27E0DC8E-708B-684C-B009-7C6A34E066D1}" name="9" totalsRowFunction="count" dataDxfId="725" totalsRowDxfId="724"/>
    <tableColumn id="11" xr3:uid="{2ECB91AE-6F51-DD47-BE13-18DEB4FA48C4}" name="10" totalsRowFunction="count" dataDxfId="723" totalsRowDxfId="722"/>
    <tableColumn id="12" xr3:uid="{73D7AD3C-F392-E147-B08A-926BAD786460}" name="11" totalsRowFunction="count" dataDxfId="721" totalsRowDxfId="720"/>
    <tableColumn id="13" xr3:uid="{7D41954A-8739-7540-8BFB-6EF027DA4475}" name="12" totalsRowFunction="count" dataDxfId="719" totalsRowDxfId="718"/>
    <tableColumn id="14" xr3:uid="{62D34594-4CA3-0146-8D7F-3B156EA00B93}" name="13" totalsRowFunction="count" dataDxfId="717" totalsRowDxfId="716"/>
    <tableColumn id="15" xr3:uid="{73232DE2-0810-504C-B4D0-00D28D78422A}" name="14" totalsRowFunction="count" dataDxfId="715" totalsRowDxfId="714"/>
    <tableColumn id="16" xr3:uid="{027A4BF5-6B1A-EE4D-9ED3-FF6F4A7AC1B3}" name="15" totalsRowFunction="count" dataDxfId="713" totalsRowDxfId="712"/>
    <tableColumn id="17" xr3:uid="{56F83AEE-494D-C342-B123-5D52AEA5AE24}" name="16" totalsRowFunction="count" dataDxfId="711" totalsRowDxfId="710"/>
    <tableColumn id="18" xr3:uid="{1BBC0D1B-4432-584C-ACD1-1AE70B47EFCC}" name="17" totalsRowFunction="count" dataDxfId="709" totalsRowDxfId="708"/>
    <tableColumn id="19" xr3:uid="{3B625679-7478-8F4B-BA9A-60453A60A5A1}" name="18" totalsRowFunction="count" dataDxfId="707" totalsRowDxfId="706"/>
    <tableColumn id="20" xr3:uid="{76A18104-182E-674D-AC0F-4773CDF8B8B6}" name="19" totalsRowFunction="count" dataDxfId="705" totalsRowDxfId="704"/>
    <tableColumn id="21" xr3:uid="{8F042647-D716-8F40-BAD9-C08787C0ED1D}" name="20" totalsRowFunction="count" dataDxfId="703" totalsRowDxfId="702"/>
    <tableColumn id="22" xr3:uid="{19F314B1-05F0-184A-B928-54B62A87E7A3}" name="21" totalsRowFunction="count" dataDxfId="701" totalsRowDxfId="700"/>
    <tableColumn id="23" xr3:uid="{35BC3275-F959-1E4B-AFF6-51AF1632088A}" name="22" totalsRowFunction="count" dataDxfId="699" totalsRowDxfId="698"/>
    <tableColumn id="24" xr3:uid="{61EC0CA0-9E82-4244-83B5-7114304289A9}" name="23" totalsRowFunction="count" dataDxfId="697" totalsRowDxfId="696"/>
    <tableColumn id="25" xr3:uid="{D62CC8DE-63AB-1249-8E62-AE81867CCDAD}" name="24" totalsRowFunction="count" dataDxfId="695" totalsRowDxfId="694"/>
    <tableColumn id="26" xr3:uid="{F20E4CEE-2B58-C742-9F64-CA872F5C13AE}" name="25" totalsRowFunction="count" dataDxfId="693" totalsRowDxfId="692"/>
    <tableColumn id="27" xr3:uid="{14AC3D1E-AC93-F44D-9CB6-A1AE1EFABAC8}" name="26" totalsRowFunction="count" dataDxfId="691" totalsRowDxfId="690"/>
    <tableColumn id="28" xr3:uid="{608F268D-AA49-A445-A7AC-1CEB5B7BB785}" name="27" totalsRowFunction="count" dataDxfId="689" totalsRowDxfId="688"/>
    <tableColumn id="29" xr3:uid="{67BFC7B6-C54A-9048-95FD-1E987F14F989}" name="28" totalsRowFunction="count" dataDxfId="687" totalsRowDxfId="686"/>
    <tableColumn id="30" xr3:uid="{8D322695-0E9C-D346-9927-D6D09D07A1C9}" name="29" totalsRowFunction="count" dataDxfId="685" totalsRowDxfId="684"/>
    <tableColumn id="31" xr3:uid="{D4FADE5D-6CB3-E344-9A70-1E36333A0422}" name="30" totalsRowFunction="count" dataDxfId="683" totalsRowDxfId="682"/>
    <tableColumn id="32" xr3:uid="{471566F6-A654-2D4B-A780-F8F9C8EF0624}" name="31" totalsRowFunction="count" dataDxfId="681" totalsRowDxfId="680"/>
    <tableColumn id="33" xr3:uid="{DB14E385-864F-9847-B49A-8C9E0E614F80}" name="Total " totalsRowFunction="sum" dataDxfId="679" totalsRowDxfId="678">
      <calculatedColumnFormula>COUNTA(Décembre678910[[#This Row],[1]:[31]])</calculatedColumnFormula>
    </tableColumn>
    <tableColumn id="34" xr3:uid="{3CCD234D-E9FE-DD40-9A2F-BA7FD0F48960}" name="Acompte" dataDxfId="677" totalsRowDxfId="676"/>
    <tableColumn id="37" xr3:uid="{ED3EAC94-A932-F948-B2CC-B1A46375B40B}" name="Reste dû " dataDxfId="675" totalsRowDxfId="674">
      <calculatedColumnFormula>(AH7)-(AI7)</calculatedColumnFormula>
    </tableColumn>
    <tableColumn id="36" xr3:uid="{02D91FB5-EA55-8440-A512-6E6D46B917A2}" name="CDC" dataDxfId="673" totalsRowDxfId="672"/>
    <tableColumn id="35" xr3:uid="{F4B191AF-4BCD-D24D-A125-E9D14576E64D}" name="Commentaire" dataDxfId="671" totalsRowDxfId="670">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F7A1509-B236-FC4A-9807-F14DB5F6E20A}" name="Décembre67891011" displayName="Décembre67891011" ref="B6:AK11" totalsRowCount="1" headerRowDxfId="659" dataDxfId="658" totalsRowDxfId="657">
  <tableColumns count="36">
    <tableColumn id="1" xr3:uid="{136E3D63-9A27-B54B-96DD-1EB18BBD658D}" name="Nom des locataires" dataDxfId="656" totalsRowDxfId="655" dataCellStyle="Employé"/>
    <tableColumn id="2" xr3:uid="{E5B9B630-FB68-BD42-99E5-0EE330893055}" name="1" totalsRowFunction="count" dataDxfId="654" totalsRowDxfId="653"/>
    <tableColumn id="3" xr3:uid="{489EE19C-724A-1A47-8250-241147E370C0}" name="2" totalsRowFunction="count" dataDxfId="652" totalsRowDxfId="651"/>
    <tableColumn id="4" xr3:uid="{76FB4D1E-F1E4-4644-B085-FA435041E1CB}" name="3" totalsRowFunction="count" dataDxfId="650" totalsRowDxfId="649"/>
    <tableColumn id="5" xr3:uid="{B8E99568-5B94-C143-BF00-A6BA43F61138}" name="4" totalsRowFunction="count" dataDxfId="648" totalsRowDxfId="647"/>
    <tableColumn id="6" xr3:uid="{4A6C8C40-900D-7B44-A22B-166483390EF8}" name="5" totalsRowFunction="count" dataDxfId="646" totalsRowDxfId="645"/>
    <tableColumn id="7" xr3:uid="{397C4DE5-B87C-D340-AE46-E51FA69104FF}" name="6" totalsRowFunction="count" dataDxfId="644" totalsRowDxfId="643"/>
    <tableColumn id="8" xr3:uid="{1EFE1C46-07BC-3A4B-B988-E022FA288A65}" name="7" totalsRowFunction="count" dataDxfId="642" totalsRowDxfId="641"/>
    <tableColumn id="9" xr3:uid="{FF567C6C-765C-754B-82F4-5215EC27C9F6}" name="8" totalsRowFunction="count" dataDxfId="640" totalsRowDxfId="639"/>
    <tableColumn id="10" xr3:uid="{2152BE9F-607B-8345-A74A-CD1DB68A5F81}" name="9" totalsRowFunction="count" dataDxfId="638" totalsRowDxfId="637"/>
    <tableColumn id="11" xr3:uid="{F0FA8E23-C737-DD45-A06D-E3F4E4D7D801}" name="10" totalsRowFunction="count" dataDxfId="636" totalsRowDxfId="635"/>
    <tableColumn id="12" xr3:uid="{2A7ADCDE-1B54-404E-85C9-0E6138B3D019}" name="11" totalsRowFunction="count" dataDxfId="634" totalsRowDxfId="633"/>
    <tableColumn id="13" xr3:uid="{BA78935B-B109-F742-9260-420CA9210C6F}" name="12" totalsRowFunction="count" dataDxfId="632" totalsRowDxfId="631"/>
    <tableColumn id="14" xr3:uid="{4DE22F39-179D-F84C-8779-1D83070D6F4B}" name="13" totalsRowFunction="count" dataDxfId="630" totalsRowDxfId="629"/>
    <tableColumn id="15" xr3:uid="{C9B49CCD-49AD-344F-A5CE-545709586980}" name="14" totalsRowFunction="count" dataDxfId="628" totalsRowDxfId="627"/>
    <tableColumn id="16" xr3:uid="{2CFCAFA0-D973-F540-BA1B-341F74BE232F}" name="15" totalsRowFunction="count" dataDxfId="626" totalsRowDxfId="625"/>
    <tableColumn id="17" xr3:uid="{DFBB6561-3D45-8F4D-B298-2E0A58353007}" name="16" totalsRowFunction="count" dataDxfId="624" totalsRowDxfId="623"/>
    <tableColumn id="18" xr3:uid="{97917DB3-CD6B-EC4B-AE17-810FA8B6FF43}" name="17" totalsRowFunction="count" dataDxfId="622" totalsRowDxfId="621"/>
    <tableColumn id="19" xr3:uid="{A8EFE893-EB32-5E4E-BF3A-95BD4DCD7B97}" name="18" totalsRowFunction="count" dataDxfId="620" totalsRowDxfId="619"/>
    <tableColumn id="20" xr3:uid="{0BA41CF0-F033-684D-97D9-5CE3A4A37434}" name="19" totalsRowFunction="count" dataDxfId="618" totalsRowDxfId="617"/>
    <tableColumn id="21" xr3:uid="{F185B03C-3169-0C42-B133-10B5CA5CE55C}" name="20" totalsRowFunction="count" dataDxfId="616" totalsRowDxfId="615"/>
    <tableColumn id="22" xr3:uid="{A477833C-4AAC-034B-A219-672D31DBDA08}" name="21" totalsRowFunction="count" dataDxfId="614" totalsRowDxfId="613"/>
    <tableColumn id="23" xr3:uid="{DCE314FC-DF0C-754A-8836-4C4349E3B827}" name="22" totalsRowFunction="count" dataDxfId="612" totalsRowDxfId="611"/>
    <tableColumn id="24" xr3:uid="{66C68D4C-46F0-A04E-8FE4-735FE66F7CB7}" name="23" totalsRowFunction="count" dataDxfId="610" totalsRowDxfId="609"/>
    <tableColumn id="25" xr3:uid="{18266CAB-B8B3-8747-9E3D-9EA7EBE4F9BE}" name="24" totalsRowFunction="count" dataDxfId="608" totalsRowDxfId="607"/>
    <tableColumn id="26" xr3:uid="{DC4FC4DA-0042-9C4B-954C-E3180B322D77}" name="25" totalsRowFunction="count" dataDxfId="606" totalsRowDxfId="605"/>
    <tableColumn id="27" xr3:uid="{A4F71B7A-62EF-A64A-B2E6-2BD7452346D7}" name="26" totalsRowFunction="count" dataDxfId="604" totalsRowDxfId="603"/>
    <tableColumn id="28" xr3:uid="{FCFCC359-96F7-274F-ABBB-C78D46C9B07C}" name="27" totalsRowFunction="count" dataDxfId="602" totalsRowDxfId="601"/>
    <tableColumn id="29" xr3:uid="{588F5669-C738-F847-ADDB-12156EE61060}" name="28" totalsRowFunction="count" dataDxfId="600" totalsRowDxfId="599"/>
    <tableColumn id="30" xr3:uid="{DC4CF441-23D9-D24D-A6AE-08108C01987C}" name="29" totalsRowFunction="count" dataDxfId="598" totalsRowDxfId="597"/>
    <tableColumn id="31" xr3:uid="{B50A15A2-1B8B-C74D-AE04-A7378BE3AB1C}" name="30" totalsRowFunction="count" dataDxfId="596" totalsRowDxfId="595"/>
    <tableColumn id="33" xr3:uid="{3A20BF76-B2AE-CD44-AFFA-A6C50406238C}" name="Total " totalsRowFunction="sum" dataDxfId="594" totalsRowDxfId="593">
      <calculatedColumnFormula>COUNTA(#REF!)</calculatedColumnFormula>
    </tableColumn>
    <tableColumn id="34" xr3:uid="{86BD0C24-F75C-9E4D-8413-A160F71B21A8}" name="Acompte" dataDxfId="592" totalsRowDxfId="591"/>
    <tableColumn id="37" xr3:uid="{BB57024B-BC7B-1D42-B59F-D5EE78E512C2}" name="Reste dû " dataDxfId="590" totalsRowDxfId="589">
      <calculatedColumnFormula>(AG7)-(AH7)</calculatedColumnFormula>
    </tableColumn>
    <tableColumn id="36" xr3:uid="{9DCB9EA4-A436-3042-8BEA-F2A4DE9C0D07}" name="CDC" dataDxfId="588" totalsRowDxfId="587"/>
    <tableColumn id="35" xr3:uid="{01EFAD2A-8DBA-3F46-9AF0-36BEA936E99F}" name="Commentaire" dataDxfId="586" totalsRowDxfId="585">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402B54-AB46-244F-A40F-C794245EDF93}" name="Décembre6789101112" displayName="Décembre6789101112" ref="B6:AL11" totalsRowCount="1" headerRowDxfId="579" dataDxfId="578" totalsRowDxfId="577">
  <tableColumns count="37">
    <tableColumn id="1" xr3:uid="{3F325AB6-47B7-2B4F-904B-17DAB16757BC}" name="Nom des locataires" dataDxfId="576" totalsRowDxfId="575" dataCellStyle="Employé"/>
    <tableColumn id="2" xr3:uid="{BC0DED78-D98B-834E-A28E-16ABA2718D5D}" name="1" totalsRowFunction="count" dataDxfId="574" totalsRowDxfId="573"/>
    <tableColumn id="3" xr3:uid="{599B0857-3133-1D48-90FD-0A96DE0A1F18}" name="2" totalsRowFunction="count" dataDxfId="572" totalsRowDxfId="571"/>
    <tableColumn id="4" xr3:uid="{3C911F77-CE30-7445-88E1-EB5432AEB8AC}" name="3" totalsRowFunction="count" dataDxfId="570" totalsRowDxfId="569"/>
    <tableColumn id="5" xr3:uid="{3654A48D-1747-E445-974C-CBD208CB27A2}" name="4" totalsRowFunction="count" dataDxfId="568" totalsRowDxfId="567"/>
    <tableColumn id="6" xr3:uid="{880B461B-4959-0947-9E9B-F7709C650549}" name="5" totalsRowFunction="count" dataDxfId="566" totalsRowDxfId="565"/>
    <tableColumn id="7" xr3:uid="{C10CBA81-CB91-F445-A685-90FEB75A6A1E}" name="6" totalsRowFunction="count" dataDxfId="564" totalsRowDxfId="563"/>
    <tableColumn id="8" xr3:uid="{B0932AAD-E4BE-0A40-9F28-AE2BED3F0E93}" name="7" totalsRowFunction="count" dataDxfId="562" totalsRowDxfId="561"/>
    <tableColumn id="9" xr3:uid="{E1564EFA-6228-934C-9C92-9D812C00DC31}" name="8" totalsRowFunction="count" dataDxfId="560" totalsRowDxfId="559"/>
    <tableColumn id="10" xr3:uid="{568A13F9-B8F2-4940-8F31-27968D1ED962}" name="9" totalsRowFunction="count" dataDxfId="558" totalsRowDxfId="557"/>
    <tableColumn id="11" xr3:uid="{E414533A-5975-C14E-A762-A348225C1C5C}" name="10" totalsRowFunction="count" dataDxfId="556" totalsRowDxfId="555"/>
    <tableColumn id="12" xr3:uid="{5E29E332-39E8-0842-8AF4-4246BD2E2287}" name="11" totalsRowFunction="count" dataDxfId="554" totalsRowDxfId="553"/>
    <tableColumn id="13" xr3:uid="{09FD1BC6-19AC-E14C-8A74-5999ACC2DB8E}" name="12" totalsRowFunction="count" dataDxfId="552" totalsRowDxfId="551"/>
    <tableColumn id="14" xr3:uid="{759D933F-F795-9E48-BAD0-B9CDF1E40053}" name="13" totalsRowFunction="count" dataDxfId="550" totalsRowDxfId="549"/>
    <tableColumn id="15" xr3:uid="{179B36EF-E0A2-8E4F-A5B6-5A13BDE5D548}" name="14" totalsRowFunction="count" dataDxfId="548" totalsRowDxfId="547"/>
    <tableColumn id="16" xr3:uid="{9DACF3A8-004B-4144-B363-F842C5AF0FF7}" name="15" totalsRowFunction="count" dataDxfId="546" totalsRowDxfId="545"/>
    <tableColumn id="17" xr3:uid="{EB29400D-7A9E-734F-839E-CB1BF63BB8ED}" name="16" totalsRowFunction="count" dataDxfId="544" totalsRowDxfId="543"/>
    <tableColumn id="18" xr3:uid="{FF0BDDD6-AF6B-D348-AEDA-EAD4ADBAE1E8}" name="17" totalsRowFunction="count" dataDxfId="542" totalsRowDxfId="541"/>
    <tableColumn id="19" xr3:uid="{FC31CA9C-9EE6-6A40-869D-600E40DBE8A5}" name="18" totalsRowFunction="count" dataDxfId="540" totalsRowDxfId="539"/>
    <tableColumn id="20" xr3:uid="{2802AFF7-3052-794C-A257-53ED85783377}" name="19" totalsRowFunction="count" dataDxfId="538" totalsRowDxfId="537"/>
    <tableColumn id="21" xr3:uid="{870710FE-611A-8E4B-B154-F7A2A537A645}" name="20" totalsRowFunction="count" dataDxfId="536" totalsRowDxfId="535"/>
    <tableColumn id="22" xr3:uid="{BC01112E-2FBD-6440-9E92-2D05C8CF5416}" name="21" totalsRowFunction="count" dataDxfId="534" totalsRowDxfId="533"/>
    <tableColumn id="23" xr3:uid="{836271D8-911D-2D42-85A4-20599BCB9A16}" name="22" totalsRowFunction="count" dataDxfId="532" totalsRowDxfId="531"/>
    <tableColumn id="24" xr3:uid="{E4DC870E-5986-C141-900B-05A3759554FD}" name="23" totalsRowFunction="count" dataDxfId="530" totalsRowDxfId="529"/>
    <tableColumn id="25" xr3:uid="{4293B88D-EA71-C74E-B016-205BCF82CD09}" name="24" totalsRowFunction="count" dataDxfId="528" totalsRowDxfId="527"/>
    <tableColumn id="26" xr3:uid="{A0897C6D-55C5-A14E-9CE6-0C555248508E}" name="25" totalsRowFunction="count" dataDxfId="526" totalsRowDxfId="525"/>
    <tableColumn id="27" xr3:uid="{540CD0FE-C045-8D4B-AA60-F55EE647F312}" name="26" totalsRowFunction="count" dataDxfId="524" totalsRowDxfId="523"/>
    <tableColumn id="28" xr3:uid="{4218CB43-3D86-9C42-87B0-0E917313AE7E}" name="27" totalsRowFunction="count" dataDxfId="522" totalsRowDxfId="521"/>
    <tableColumn id="29" xr3:uid="{F5B9786F-D0AC-3C46-9AB1-10DB7EF26F8A}" name="28" totalsRowFunction="count" dataDxfId="520" totalsRowDxfId="519"/>
    <tableColumn id="30" xr3:uid="{8AAE23CD-B4BB-C34B-ABDE-1C861F3D8571}" name="29" totalsRowFunction="count" dataDxfId="518" totalsRowDxfId="517"/>
    <tableColumn id="31" xr3:uid="{87E93ABC-6B07-F84D-9BCA-B823F1257798}" name="30" totalsRowFunction="count" dataDxfId="516" totalsRowDxfId="515"/>
    <tableColumn id="32" xr3:uid="{80221932-9786-2149-82F5-2A2C937E055A}" name="31" totalsRowFunction="count" dataDxfId="514" totalsRowDxfId="513"/>
    <tableColumn id="33" xr3:uid="{F24A64BF-96FC-854E-8204-FFF60499F227}" name="Total " totalsRowFunction="sum" dataDxfId="512" totalsRowDxfId="511">
      <calculatedColumnFormula>COUNTA(Décembre6789101112[[#This Row],[1]:[31]])</calculatedColumnFormula>
    </tableColumn>
    <tableColumn id="34" xr3:uid="{8F87217C-A32C-964E-802E-1CB940D5E382}" name="Acompte" dataDxfId="510" totalsRowDxfId="509"/>
    <tableColumn id="37" xr3:uid="{4E02F171-C377-8545-8AFA-D3158A788853}" name="Reste dû " dataDxfId="508" totalsRowDxfId="507">
      <calculatedColumnFormula>(AH7)-(AI7)</calculatedColumnFormula>
    </tableColumn>
    <tableColumn id="36" xr3:uid="{09A42DA2-A6B4-8540-B72D-3037A64C0C73}" name="CDC" dataDxfId="506" totalsRowDxfId="505"/>
    <tableColumn id="35" xr3:uid="{819F5D9C-60ED-C547-9DF1-7C40AD902029}" name="Commentaire" dataDxfId="504" totalsRowDxfId="503">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BDC3C31-FC8A-8E42-82AC-4BC51FAD9FDC}" name="Décembre678910111214" displayName="Décembre678910111214" ref="B6:AL11" totalsRowCount="1" headerRowDxfId="492" dataDxfId="491" totalsRowDxfId="490">
  <tableColumns count="37">
    <tableColumn id="1" xr3:uid="{CABC310F-B208-E447-A422-DE95D30209CB}" name="Nom des locataires" dataDxfId="489" totalsRowDxfId="488" dataCellStyle="Employé"/>
    <tableColumn id="2" xr3:uid="{2AA5E099-0C81-5048-B0DD-A0FAF949ED34}" name="1" totalsRowFunction="count" dataDxfId="487" totalsRowDxfId="486"/>
    <tableColumn id="3" xr3:uid="{BA069C86-1159-A542-9C5E-A96A53F4BE02}" name="2" totalsRowFunction="count" dataDxfId="485" totalsRowDxfId="484"/>
    <tableColumn id="4" xr3:uid="{AE3D20BF-A16F-E04B-B585-1F695E5388AF}" name="3" totalsRowFunction="count" dataDxfId="483" totalsRowDxfId="482"/>
    <tableColumn id="5" xr3:uid="{1AC48B7A-0573-E947-9C1A-9BF9E61FCA5A}" name="4" totalsRowFunction="count" dataDxfId="481" totalsRowDxfId="480"/>
    <tableColumn id="6" xr3:uid="{2F5CE86B-97BD-0747-B899-5A75801C1A80}" name="5" totalsRowFunction="count" dataDxfId="479" totalsRowDxfId="478"/>
    <tableColumn id="7" xr3:uid="{8F60CD34-9836-6A41-99EC-B7BAA18701DD}" name="6" totalsRowFunction="count" dataDxfId="477" totalsRowDxfId="476"/>
    <tableColumn id="8" xr3:uid="{5FD3AC5F-E96C-F14F-B156-D43F45938CE3}" name="7" totalsRowFunction="count" dataDxfId="475" totalsRowDxfId="474"/>
    <tableColumn id="9" xr3:uid="{A4F801AD-13D0-AF4B-9E34-E19A30E542C1}" name="8" totalsRowFunction="count" dataDxfId="473" totalsRowDxfId="472"/>
    <tableColumn id="10" xr3:uid="{27DF01E1-280D-A84A-BA06-EFF8F1BA4E35}" name="9" totalsRowFunction="count" dataDxfId="471" totalsRowDxfId="470"/>
    <tableColumn id="11" xr3:uid="{4182184E-2F62-D645-BB43-BC90931031EB}" name="10" totalsRowFunction="count" dataDxfId="469" totalsRowDxfId="468"/>
    <tableColumn id="12" xr3:uid="{C29E4119-D4D6-DA4B-9EBE-38BC58979132}" name="11" totalsRowFunction="count" dataDxfId="467" totalsRowDxfId="466"/>
    <tableColumn id="13" xr3:uid="{8BAF8D9A-3FA1-EC4B-84BE-F615E2E9D007}" name="12" totalsRowFunction="count" dataDxfId="465" totalsRowDxfId="464"/>
    <tableColumn id="14" xr3:uid="{A9114E78-E9A2-2C40-B4A0-6EBE91FF885A}" name="13" totalsRowFunction="count" dataDxfId="463" totalsRowDxfId="462"/>
    <tableColumn id="15" xr3:uid="{B554B0D2-3C5F-4945-A556-3863B4C45227}" name="14" totalsRowFunction="count" dataDxfId="461" totalsRowDxfId="460"/>
    <tableColumn id="16" xr3:uid="{E1FF6B74-0D4A-F24B-803C-F618D848A45D}" name="15" totalsRowFunction="count" dataDxfId="459" totalsRowDxfId="458"/>
    <tableColumn id="17" xr3:uid="{924B223C-98A2-AD48-A3F6-B19A21720591}" name="16" totalsRowFunction="count" dataDxfId="457" totalsRowDxfId="456"/>
    <tableColumn id="18" xr3:uid="{4819A440-548A-764E-BE64-C76EAE98BCDC}" name="17" totalsRowFunction="count" dataDxfId="455" totalsRowDxfId="454"/>
    <tableColumn id="19" xr3:uid="{14D0912B-4B99-AE4A-9F37-23738BCB3EB6}" name="18" totalsRowFunction="count" dataDxfId="453" totalsRowDxfId="452"/>
    <tableColumn id="20" xr3:uid="{14806CFA-8F87-564E-9E00-B14CFDF0D11F}" name="19" totalsRowFunction="count" dataDxfId="451" totalsRowDxfId="450"/>
    <tableColumn id="21" xr3:uid="{8FAAD491-FFBA-B34D-8489-B573D5E7C6EE}" name="20" totalsRowFunction="count" dataDxfId="449" totalsRowDxfId="448"/>
    <tableColumn id="22" xr3:uid="{429F6F0B-39FB-EC48-94A5-02C3BCAFACC3}" name="21" totalsRowFunction="count" dataDxfId="447" totalsRowDxfId="446"/>
    <tableColumn id="23" xr3:uid="{8A2470AC-4340-0547-9BB2-C6F382BEC948}" name="22" totalsRowFunction="count" dataDxfId="445" totalsRowDxfId="444"/>
    <tableColumn id="24" xr3:uid="{CB5BE566-582F-7145-BB0B-B5800208B8EC}" name="23" totalsRowFunction="count" dataDxfId="443" totalsRowDxfId="442"/>
    <tableColumn id="25" xr3:uid="{89F9D3A6-4712-E943-A70F-48D5F18FBAE5}" name="24" totalsRowFunction="count" dataDxfId="441" totalsRowDxfId="440"/>
    <tableColumn id="26" xr3:uid="{E21B0372-762E-D740-B0B7-66B07942774C}" name="25" totalsRowFunction="count" dataDxfId="439" totalsRowDxfId="438"/>
    <tableColumn id="27" xr3:uid="{90ABFE00-B694-6448-855A-13D0F0A8F045}" name="26" totalsRowFunction="count" dataDxfId="437" totalsRowDxfId="436"/>
    <tableColumn id="28" xr3:uid="{56C231C4-3B1C-A741-AC15-B540153DCCDE}" name="27" totalsRowFunction="count" dataDxfId="435" totalsRowDxfId="434"/>
    <tableColumn id="29" xr3:uid="{A2BCEBB2-7E1D-C74A-925E-3F56143AA0B4}" name="28" totalsRowFunction="count" dataDxfId="433" totalsRowDxfId="432"/>
    <tableColumn id="30" xr3:uid="{16CE3059-3530-D54C-BD9F-0429B35F78D5}" name="29" totalsRowFunction="count" dataDxfId="431" totalsRowDxfId="430"/>
    <tableColumn id="31" xr3:uid="{34968A92-C8F1-6448-9641-039C6AAA8A68}" name="30" totalsRowFunction="count" dataDxfId="429" totalsRowDxfId="428"/>
    <tableColumn id="32" xr3:uid="{26CEF0E9-1567-B041-AA27-032FD3F14602}" name="31" totalsRowFunction="count" dataDxfId="427" totalsRowDxfId="426"/>
    <tableColumn id="33" xr3:uid="{F852BE6F-061D-0245-A169-684B5DC68B63}" name="Total " totalsRowFunction="sum" dataDxfId="425" totalsRowDxfId="424">
      <calculatedColumnFormula>COUNTA(Décembre678910111214[[#This Row],[1]:[31]])</calculatedColumnFormula>
    </tableColumn>
    <tableColumn id="34" xr3:uid="{1FA06AF6-2C2A-C749-98F1-0C0B64AD56C0}" name="Acompte" dataDxfId="423" totalsRowDxfId="422"/>
    <tableColumn id="37" xr3:uid="{6CC8E023-787B-004A-8809-6D6834444BC6}" name="Reste dû " dataDxfId="421" totalsRowDxfId="420">
      <calculatedColumnFormula>(AH7)-(AI7)</calculatedColumnFormula>
    </tableColumn>
    <tableColumn id="36" xr3:uid="{DE24A77D-DBD6-2243-BCB4-516FFF65BB53}" name="CDC" dataDxfId="419" totalsRowDxfId="418"/>
    <tableColumn id="35" xr3:uid="{E91FB0B9-80E1-7541-941D-080B8009CB87}" name="Commentaire" dataDxfId="417" totalsRowDxfId="416">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A0EBA9-9677-2A4B-8BA1-E7F019BD34CC}" name="Décembre67891011121415" displayName="Décembre67891011121415" ref="B6:AK11" totalsRowCount="1" headerRowDxfId="405" dataDxfId="404" totalsRowDxfId="403">
  <tableColumns count="36">
    <tableColumn id="1" xr3:uid="{BD7A6F20-1A01-484A-A97B-FAD9B0941DC9}" name="Nom des locataires" dataDxfId="402" totalsRowDxfId="401" dataCellStyle="Employé"/>
    <tableColumn id="2" xr3:uid="{2A5A5AAC-7109-FC45-B942-4C751E88EEEB}" name="1" totalsRowFunction="count" dataDxfId="400" totalsRowDxfId="399"/>
    <tableColumn id="3" xr3:uid="{44036568-AAC5-C64B-A8FA-1BC48462CB52}" name="2" totalsRowFunction="count" dataDxfId="398" totalsRowDxfId="397"/>
    <tableColumn id="4" xr3:uid="{BB1C34D2-70AD-E54C-B310-642680FE04A8}" name="3" totalsRowFunction="count" dataDxfId="396" totalsRowDxfId="395"/>
    <tableColumn id="5" xr3:uid="{D5FD3894-1E15-5545-B375-6A7E3428B828}" name="4" totalsRowFunction="count" dataDxfId="394" totalsRowDxfId="393"/>
    <tableColumn id="6" xr3:uid="{A5140C4C-B4A7-EE41-BEFE-1122E5483979}" name="5" totalsRowFunction="count" dataDxfId="392" totalsRowDxfId="391"/>
    <tableColumn id="7" xr3:uid="{49D39930-99FD-6B44-ADD4-F1A12290F8EE}" name="6" totalsRowFunction="count" dataDxfId="390" totalsRowDxfId="389"/>
    <tableColumn id="8" xr3:uid="{41F2F506-A975-F041-9805-B07709963D90}" name="7" totalsRowFunction="count" dataDxfId="388" totalsRowDxfId="387"/>
    <tableColumn id="9" xr3:uid="{EA9BB230-1531-2E40-9752-842B66818CEE}" name="8" totalsRowFunction="count" dataDxfId="386" totalsRowDxfId="385"/>
    <tableColumn id="10" xr3:uid="{B405CFC7-5042-4F42-BEA6-F035F4CCBF0D}" name="9" totalsRowFunction="count" dataDxfId="384" totalsRowDxfId="383"/>
    <tableColumn id="11" xr3:uid="{5F8A6A3D-C3AE-9D40-87D0-3DDF5B1921A6}" name="10" totalsRowFunction="count" dataDxfId="382" totalsRowDxfId="381"/>
    <tableColumn id="12" xr3:uid="{83173349-9FA1-554D-A8BB-7C8D9DBA98BF}" name="11" totalsRowFunction="count" dataDxfId="380" totalsRowDxfId="379"/>
    <tableColumn id="13" xr3:uid="{DEC2D13C-ED89-C040-BAAE-0871D8EBCDCB}" name="12" totalsRowFunction="count" dataDxfId="378" totalsRowDxfId="377"/>
    <tableColumn id="14" xr3:uid="{95E92209-F9E6-A048-A926-7D5DBBB68C25}" name="13" totalsRowFunction="count" dataDxfId="376" totalsRowDxfId="375"/>
    <tableColumn id="15" xr3:uid="{E170D183-06E2-BD4B-A96E-F039E592AC84}" name="14" totalsRowFunction="count" dataDxfId="374" totalsRowDxfId="373"/>
    <tableColumn id="16" xr3:uid="{5BC89FFD-0558-9247-8C11-6507CAE339AD}" name="15" totalsRowFunction="count" dataDxfId="372" totalsRowDxfId="371"/>
    <tableColumn id="17" xr3:uid="{0E48F41A-C0DA-EC4B-ABE6-EC2DC03E4893}" name="16" totalsRowFunction="count" dataDxfId="370" totalsRowDxfId="369"/>
    <tableColumn id="18" xr3:uid="{1BBB3C9E-7BEB-5E48-B29E-512BAFEDAD0A}" name="17" totalsRowFunction="count" dataDxfId="368" totalsRowDxfId="367"/>
    <tableColumn id="19" xr3:uid="{BEB12B8F-5ED2-4B49-82A5-B9E4304484B3}" name="18" totalsRowFunction="count" dataDxfId="366" totalsRowDxfId="365"/>
    <tableColumn id="20" xr3:uid="{2437A00A-E00D-F74F-AF7D-BFD50E20671E}" name="19" totalsRowFunction="count" dataDxfId="364" totalsRowDxfId="363"/>
    <tableColumn id="21" xr3:uid="{58FE7FE8-1634-1248-83ED-D5A3EDAB6012}" name="20" totalsRowFunction="count" dataDxfId="362" totalsRowDxfId="361"/>
    <tableColumn id="22" xr3:uid="{4F00D29D-DD83-1342-8A49-9B16AD81C05D}" name="21" totalsRowFunction="count" dataDxfId="360" totalsRowDxfId="359"/>
    <tableColumn id="23" xr3:uid="{C0515054-8BC9-454D-A7C0-128C91B4BCF1}" name="22" totalsRowFunction="count" dataDxfId="358" totalsRowDxfId="357"/>
    <tableColumn id="24" xr3:uid="{F3523E46-6F5B-1246-8476-7454A38F49DF}" name="23" totalsRowFunction="count" dataDxfId="356" totalsRowDxfId="355"/>
    <tableColumn id="25" xr3:uid="{B0BE80C5-F9A3-994D-9DAC-5864C405D7D6}" name="24" totalsRowFunction="count" dataDxfId="354" totalsRowDxfId="353"/>
    <tableColumn id="26" xr3:uid="{7F201581-0498-0D4B-BA9C-97289E9C0B55}" name="25" totalsRowFunction="count" dataDxfId="352" totalsRowDxfId="351"/>
    <tableColumn id="27" xr3:uid="{7EA793F2-78DC-DF41-AE00-683C75FC8E71}" name="26" totalsRowFunction="count" dataDxfId="350" totalsRowDxfId="349"/>
    <tableColumn id="28" xr3:uid="{AD30BF43-3D24-584E-B806-88C9609A3567}" name="27" totalsRowFunction="count" dataDxfId="348" totalsRowDxfId="347"/>
    <tableColumn id="29" xr3:uid="{30E105C9-1E7B-2240-AC46-94BE786C8F9C}" name="28" totalsRowFunction="count" dataDxfId="346" totalsRowDxfId="345"/>
    <tableColumn id="30" xr3:uid="{3EB49DB8-5AF4-A14B-8240-C791DB610BF8}" name="29" totalsRowFunction="count" dataDxfId="344" totalsRowDxfId="343"/>
    <tableColumn id="31" xr3:uid="{17014744-242B-7F4F-B94A-45D8947E3740}" name="30" totalsRowFunction="count" dataDxfId="342" totalsRowDxfId="341"/>
    <tableColumn id="33" xr3:uid="{94B984A3-16FF-DF4F-9C23-BA3938DE5ACB}" name="Total " totalsRowFunction="sum" dataDxfId="340" totalsRowDxfId="339">
      <calculatedColumnFormula>COUNTA(#REF!)</calculatedColumnFormula>
    </tableColumn>
    <tableColumn id="34" xr3:uid="{AF5361D1-2D81-B841-AC16-881B543141BB}" name="Acompte" dataDxfId="338" totalsRowDxfId="337"/>
    <tableColumn id="37" xr3:uid="{B0CE7C7D-4FB6-9B4B-9E87-D139AF8C7CF7}" name="Reste dû " dataDxfId="336" totalsRowDxfId="335">
      <calculatedColumnFormula>(AG7)-(AH7)</calculatedColumnFormula>
    </tableColumn>
    <tableColumn id="36" xr3:uid="{624CE332-4A6B-5D48-BCE8-5495C22A9944}" name="CDC" dataDxfId="334" totalsRowDxfId="333"/>
    <tableColumn id="35" xr3:uid="{29451109-EC48-284D-9145-A792991C76FE}" name="Commentaire" dataDxfId="332" totalsRowDxfId="331">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55D43A3-35F9-7A41-82B5-C3C927EA3A4F}" name="Décembre6789101112141516" displayName="Décembre6789101112141516" ref="B6:AL11" totalsRowCount="1" headerRowDxfId="325" dataDxfId="324" totalsRowDxfId="323">
  <tableColumns count="37">
    <tableColumn id="1" xr3:uid="{E7B0711E-79A7-8E45-95F4-EC0DF746657B}" name="Nom des locataires" dataDxfId="322" totalsRowDxfId="321" dataCellStyle="Employé"/>
    <tableColumn id="2" xr3:uid="{A38D887F-3923-F04D-8B51-32ECC94B7E7D}" name="1" totalsRowFunction="count" dataDxfId="320" totalsRowDxfId="319"/>
    <tableColumn id="3" xr3:uid="{364AF9E7-F206-FC4C-BBF0-F15CC2718341}" name="2" totalsRowFunction="count" dataDxfId="318" totalsRowDxfId="317"/>
    <tableColumn id="4" xr3:uid="{D722E5AE-CE32-874A-873A-B4A92E94FA71}" name="3" totalsRowFunction="count" dataDxfId="316" totalsRowDxfId="315"/>
    <tableColumn id="5" xr3:uid="{0CB705F4-1F70-BE43-A475-91F2A75E416D}" name="4" totalsRowFunction="count" dataDxfId="314" totalsRowDxfId="313"/>
    <tableColumn id="6" xr3:uid="{11DA7F62-E172-734B-AA6D-B2B01FDCCE01}" name="5" totalsRowFunction="count" dataDxfId="312" totalsRowDxfId="311"/>
    <tableColumn id="7" xr3:uid="{0E6A8D0E-33B2-B449-9E09-F9DD310C9416}" name="6" totalsRowFunction="count" dataDxfId="310" totalsRowDxfId="309"/>
    <tableColumn id="8" xr3:uid="{5E543986-30E9-8B41-AC31-ED70CE658302}" name="7" totalsRowFunction="count" dataDxfId="308" totalsRowDxfId="307"/>
    <tableColumn id="9" xr3:uid="{7FB15A93-6DF3-0B40-AC71-FBFE795B76B9}" name="8" totalsRowFunction="count" dataDxfId="306" totalsRowDxfId="305"/>
    <tableColumn id="10" xr3:uid="{2265E31F-C4DB-D443-9C2D-1DF0805BFE81}" name="9" totalsRowFunction="count" dataDxfId="304" totalsRowDxfId="303"/>
    <tableColumn id="11" xr3:uid="{B5E970F2-41F5-1F48-BFDC-C242E4329E57}" name="10" totalsRowFunction="count" dataDxfId="302" totalsRowDxfId="301"/>
    <tableColumn id="12" xr3:uid="{D351A35E-0387-324C-82BB-62A939AC102E}" name="11" totalsRowFunction="count" dataDxfId="300" totalsRowDxfId="299"/>
    <tableColumn id="13" xr3:uid="{8FAD58BD-131B-C84C-8208-8B18006A4FEF}" name="12" totalsRowFunction="count" dataDxfId="298" totalsRowDxfId="297"/>
    <tableColumn id="14" xr3:uid="{CA741145-195B-DE4A-B78D-9B312ED1FAE6}" name="13" totalsRowFunction="count" dataDxfId="296" totalsRowDxfId="295"/>
    <tableColumn id="15" xr3:uid="{133BA330-D0D2-714B-BA71-5C82ECAA4EB3}" name="14" totalsRowFunction="count" dataDxfId="294" totalsRowDxfId="293"/>
    <tableColumn id="16" xr3:uid="{B7F860DD-ACA1-A24F-A7EC-48E248D2B076}" name="15" totalsRowFunction="count" dataDxfId="292" totalsRowDxfId="291"/>
    <tableColumn id="17" xr3:uid="{1B02B54E-D992-A94F-A619-4C26ECFDED5B}" name="16" totalsRowFunction="count" dataDxfId="290" totalsRowDxfId="289"/>
    <tableColumn id="18" xr3:uid="{08F0441E-C4B1-1D40-A0E6-8117A6AE44D7}" name="17" totalsRowFunction="count" dataDxfId="288" totalsRowDxfId="287"/>
    <tableColumn id="19" xr3:uid="{E4C36115-05F6-6243-A994-38963AA2FA89}" name="18" totalsRowFunction="count" dataDxfId="286" totalsRowDxfId="285"/>
    <tableColumn id="20" xr3:uid="{ACBBCFA2-03A3-E14F-BE79-7DB3782D8D6C}" name="19" totalsRowFunction="count" dataDxfId="284" totalsRowDxfId="283"/>
    <tableColumn id="21" xr3:uid="{A3C48F78-C3F6-AC47-8EF1-A9CE6BD0EB24}" name="20" totalsRowFunction="count" dataDxfId="282" totalsRowDxfId="281"/>
    <tableColumn id="22" xr3:uid="{7AC9E672-A444-BA4C-80FB-413B2FC3EA3A}" name="21" totalsRowFunction="count" dataDxfId="280" totalsRowDxfId="279"/>
    <tableColumn id="23" xr3:uid="{B2CDD934-5A1E-3941-9073-D6619B99156A}" name="22" totalsRowFunction="count" dataDxfId="278" totalsRowDxfId="277"/>
    <tableColumn id="24" xr3:uid="{125AF42B-6DE8-5543-B689-9695A962677E}" name="23" totalsRowFunction="count" dataDxfId="276" totalsRowDxfId="275"/>
    <tableColumn id="25" xr3:uid="{F8EA7D31-B45A-8F4B-B84B-1F6A99B1B04A}" name="24" totalsRowFunction="count" dataDxfId="274" totalsRowDxfId="273"/>
    <tableColumn id="26" xr3:uid="{CDF870D8-B143-FF48-8988-40E36636A8DB}" name="25" totalsRowFunction="count" dataDxfId="272" totalsRowDxfId="271"/>
    <tableColumn id="27" xr3:uid="{1371B817-8D58-4940-87D2-44A88B1E56E1}" name="26" totalsRowFunction="count" dataDxfId="270" totalsRowDxfId="269"/>
    <tableColumn id="28" xr3:uid="{2A6C5673-79CC-A743-B9CD-F48D2B0136B7}" name="27" totalsRowFunction="count" dataDxfId="268" totalsRowDxfId="267"/>
    <tableColumn id="29" xr3:uid="{107465CB-9C37-6340-9CE1-F2B6E3EA856F}" name="28" totalsRowFunction="count" dataDxfId="266" totalsRowDxfId="265"/>
    <tableColumn id="30" xr3:uid="{F637DEFB-CC7A-214B-B4C3-B29FB816D734}" name="29" totalsRowFunction="count" dataDxfId="264" totalsRowDxfId="263"/>
    <tableColumn id="31" xr3:uid="{2F34CECC-0E43-C740-8013-CA1D7E991B21}" name="30" totalsRowFunction="count" dataDxfId="262" totalsRowDxfId="261"/>
    <tableColumn id="32" xr3:uid="{5C49471C-C92D-E046-BBC5-A35E41AC305D}" name="31" totalsRowFunction="count" dataDxfId="260" totalsRowDxfId="259"/>
    <tableColumn id="33" xr3:uid="{471FD3FF-64D0-DB46-8B44-3EDD88DADEF7}" name="Total " totalsRowFunction="sum" dataDxfId="258" totalsRowDxfId="257">
      <calculatedColumnFormula>COUNTA(Décembre6789101112141516[[#This Row],[1]:[31]])</calculatedColumnFormula>
    </tableColumn>
    <tableColumn id="34" xr3:uid="{251A8ADB-7848-164F-8635-0A77873A7C2A}" name="Acompte" dataDxfId="256" totalsRowDxfId="255"/>
    <tableColumn id="37" xr3:uid="{A395D3FB-A4A3-D14E-A21B-56F7AEB0402D}" name="Reste dû " dataDxfId="254" totalsRowDxfId="253">
      <calculatedColumnFormula>(AH7)-(AI7)</calculatedColumnFormula>
    </tableColumn>
    <tableColumn id="36" xr3:uid="{D2D1C5C0-89FE-1849-A70C-9479B194F4F7}" name="CDC" dataDxfId="252" totalsRowDxfId="251"/>
    <tableColumn id="35" xr3:uid="{E62A1F27-7CC0-D844-BA92-984247B72874}" name="Commentaire" dataDxfId="250" totalsRowDxfId="249">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1B3583F-4B79-0548-A562-109ED4E67143}" name="Décembre678910111214151617" displayName="Décembre678910111214151617" ref="B6:AK11" totalsRowCount="1" headerRowDxfId="243" dataDxfId="242" totalsRowDxfId="241">
  <tableColumns count="36">
    <tableColumn id="1" xr3:uid="{56CA2639-9C14-B844-B8DB-78A7F514481D}" name="Nom des locataires" dataDxfId="240" totalsRowDxfId="239" dataCellStyle="Employé"/>
    <tableColumn id="2" xr3:uid="{2E9DFF10-AF0E-5941-BB69-CC0C69DC5849}" name="1" totalsRowFunction="count" dataDxfId="238" totalsRowDxfId="237"/>
    <tableColumn id="3" xr3:uid="{7F9342E2-0690-154E-BBA7-014A689EA956}" name="2" totalsRowFunction="count" dataDxfId="236" totalsRowDxfId="235"/>
    <tableColumn id="4" xr3:uid="{C2631A3E-9E82-7F41-9105-26980357E413}" name="3" totalsRowFunction="count" dataDxfId="234" totalsRowDxfId="233"/>
    <tableColumn id="5" xr3:uid="{DF34B9D3-FA5E-EA48-BF0B-7FC3282B7916}" name="4" totalsRowFunction="count" dataDxfId="232" totalsRowDxfId="231"/>
    <tableColumn id="6" xr3:uid="{22A70D73-EBEE-A242-8C33-7345432F587A}" name="5" totalsRowFunction="count" dataDxfId="230" totalsRowDxfId="229"/>
    <tableColumn id="7" xr3:uid="{7C7D2273-7A64-B04A-A864-0594A8FDDB0F}" name="6" totalsRowFunction="count" dataDxfId="228" totalsRowDxfId="227"/>
    <tableColumn id="8" xr3:uid="{38112AFE-B7DD-4140-A178-8CD6300E4ADE}" name="7" totalsRowFunction="count" dataDxfId="226" totalsRowDxfId="225"/>
    <tableColumn id="9" xr3:uid="{9E903B2D-4522-CF4B-9679-9084B70BB1C7}" name="8" totalsRowFunction="count" dataDxfId="224" totalsRowDxfId="223"/>
    <tableColumn id="10" xr3:uid="{C8A4AD4E-FD45-ED43-BE62-B3B815D0D2B4}" name="9" totalsRowFunction="count" dataDxfId="222" totalsRowDxfId="221"/>
    <tableColumn id="11" xr3:uid="{2DC13DD6-7A0D-8B47-8AFD-D3A272016674}" name="10" totalsRowFunction="count" dataDxfId="220" totalsRowDxfId="219"/>
    <tableColumn id="12" xr3:uid="{9D2D1B2A-E9A7-8240-A0B5-B89AE02AA981}" name="11" totalsRowFunction="count" dataDxfId="218" totalsRowDxfId="217"/>
    <tableColumn id="13" xr3:uid="{7D5C5F01-7809-D048-9A3F-B91019FFE187}" name="12" totalsRowFunction="count" dataDxfId="216" totalsRowDxfId="215"/>
    <tableColumn id="14" xr3:uid="{70F514E6-9693-EA45-94D6-BFFEC6FDD330}" name="13" totalsRowFunction="count" dataDxfId="214" totalsRowDxfId="213"/>
    <tableColumn id="15" xr3:uid="{0D18A3FD-F2D3-C948-B282-0C0DFB739558}" name="14" totalsRowFunction="count" dataDxfId="212" totalsRowDxfId="211"/>
    <tableColumn id="16" xr3:uid="{EFE1139C-FCA7-0A4D-AD14-CC98597DDCC9}" name="15" totalsRowFunction="count" dataDxfId="210" totalsRowDxfId="209"/>
    <tableColumn id="17" xr3:uid="{D40081A5-AA12-474F-B621-40C438E7DC77}" name="16" totalsRowFunction="count" dataDxfId="208" totalsRowDxfId="207"/>
    <tableColumn id="18" xr3:uid="{55DC34B1-C684-0742-8A9D-FCEDE1E6901F}" name="17" totalsRowFunction="count" dataDxfId="206" totalsRowDxfId="205"/>
    <tableColumn id="19" xr3:uid="{9CDB2754-7D77-854E-97C0-3D0CE5BD0B9C}" name="18" totalsRowFunction="count" dataDxfId="204" totalsRowDxfId="203"/>
    <tableColumn id="20" xr3:uid="{191021E0-B5B3-D34F-AFB4-56371049E1C0}" name="19" totalsRowFunction="count" dataDxfId="202" totalsRowDxfId="201"/>
    <tableColumn id="21" xr3:uid="{B9EEAFD4-2A07-CC4C-9824-ED7C6C496C5D}" name="20" totalsRowFunction="count" dataDxfId="200" totalsRowDxfId="199"/>
    <tableColumn id="22" xr3:uid="{A4366C8C-3528-824F-B274-4DD8FF6485A5}" name="21" totalsRowFunction="count" dataDxfId="198" totalsRowDxfId="197"/>
    <tableColumn id="23" xr3:uid="{8874BAD6-D752-204F-A99C-0BD46FC48BA8}" name="22" totalsRowFunction="count" dataDxfId="196" totalsRowDxfId="195"/>
    <tableColumn id="24" xr3:uid="{6DD9B89B-7150-4246-9D19-FDB64649EBFA}" name="23" totalsRowFunction="count" dataDxfId="194" totalsRowDxfId="193"/>
    <tableColumn id="25" xr3:uid="{8C74EA0D-A573-9A40-AE3A-8D7FF107985F}" name="24" totalsRowFunction="count" dataDxfId="192" totalsRowDxfId="191"/>
    <tableColumn id="26" xr3:uid="{FCC59FDC-8592-7440-A594-347E2060EEFA}" name="25" totalsRowFunction="count" dataDxfId="190" totalsRowDxfId="189"/>
    <tableColumn id="27" xr3:uid="{19C0BA4B-C22B-574E-826C-1B3E6D08466A}" name="26" totalsRowFunction="count" dataDxfId="188" totalsRowDxfId="187"/>
    <tableColumn id="28" xr3:uid="{A0643A6E-9B72-1D4C-A4F5-8FB25DE381AD}" name="27" totalsRowFunction="count" dataDxfId="186" totalsRowDxfId="185"/>
    <tableColumn id="29" xr3:uid="{9026CB1B-4E86-DC4D-896F-6E72D5F4BD6A}" name="28" totalsRowFunction="count" dataDxfId="184" totalsRowDxfId="183"/>
    <tableColumn id="30" xr3:uid="{3BFFED31-497C-1B47-A79B-3D3A55A84773}" name="29" totalsRowFunction="count" dataDxfId="182" totalsRowDxfId="181"/>
    <tableColumn id="31" xr3:uid="{E5607823-AACC-C04A-864E-D8EB4A41F60E}" name="30" totalsRowFunction="count" dataDxfId="180" totalsRowDxfId="179"/>
    <tableColumn id="33" xr3:uid="{58764D3A-A6F0-DE4C-859C-A53F9A9B667A}" name="Total " totalsRowFunction="sum" dataDxfId="178" totalsRowDxfId="177">
      <calculatedColumnFormula>COUNTA(#REF!)</calculatedColumnFormula>
    </tableColumn>
    <tableColumn id="34" xr3:uid="{C6C134D1-8F7E-9145-943F-80B63AA0B955}" name="Acompte" dataDxfId="176" totalsRowDxfId="175"/>
    <tableColumn id="37" xr3:uid="{B52081DC-B3BE-4B4D-A586-2DFF7818EACA}" name="Reste dû " dataDxfId="174" totalsRowDxfId="173">
      <calculatedColumnFormula>(AG7)-(AH7)</calculatedColumnFormula>
    </tableColumn>
    <tableColumn id="36" xr3:uid="{E36BD8EF-5D26-1340-996B-3F43B3B8C075}" name="CDC" dataDxfId="172" totalsRowDxfId="171"/>
    <tableColumn id="35" xr3:uid="{311884D3-A6BE-E24B-8255-0737DEA94761}" name="Commentaire" dataDxfId="170" totalsRowDxfId="169">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A7133F-79AF-0149-A41C-345A9EF17B3B}" name="Décembre67891011121415161718" displayName="Décembre67891011121415161718" ref="B6:AL11" totalsRowCount="1" headerRowDxfId="163" dataDxfId="162" totalsRowDxfId="161">
  <tableColumns count="37">
    <tableColumn id="1" xr3:uid="{98979008-DD66-604B-BD1F-5D14D2E51CBE}" name="Nom des locataires" dataDxfId="160" totalsRowDxfId="159" dataCellStyle="Employé"/>
    <tableColumn id="2" xr3:uid="{33A5D945-0B11-AE4F-BB23-C710C4C5DB90}" name="1" totalsRowFunction="count" dataDxfId="158" totalsRowDxfId="157"/>
    <tableColumn id="3" xr3:uid="{8A79CDBD-326D-D349-9EF4-A8561EF67C38}" name="2" totalsRowFunction="count" dataDxfId="156" totalsRowDxfId="155"/>
    <tableColumn id="4" xr3:uid="{BFD40020-A300-EC47-892C-396E971CCEC1}" name="3" totalsRowFunction="count" dataDxfId="154" totalsRowDxfId="153"/>
    <tableColumn id="5" xr3:uid="{4F247D04-AA50-D34D-817F-A936B8564BC1}" name="4" totalsRowFunction="count" dataDxfId="152" totalsRowDxfId="151"/>
    <tableColumn id="6" xr3:uid="{43AF0E61-0F19-8B48-B36A-9C799CBA4E53}" name="5" totalsRowFunction="count" dataDxfId="150" totalsRowDxfId="149"/>
    <tableColumn id="7" xr3:uid="{050F4BBE-FD6F-E44D-A827-DBD563ACE3AC}" name="6" totalsRowFunction="count" dataDxfId="148" totalsRowDxfId="147"/>
    <tableColumn id="8" xr3:uid="{31864EF2-8247-ED48-88F8-9BE6428895D3}" name="7" totalsRowFunction="count" dataDxfId="146" totalsRowDxfId="145"/>
    <tableColumn id="9" xr3:uid="{ED427CFA-0374-9142-B5E6-C3DEE33BADEF}" name="8" totalsRowFunction="count" dataDxfId="144" totalsRowDxfId="143"/>
    <tableColumn id="10" xr3:uid="{FF5CDBB4-0569-A941-B517-DC8AD3779A19}" name="9" totalsRowFunction="count" dataDxfId="142" totalsRowDxfId="141"/>
    <tableColumn id="11" xr3:uid="{7EED5D2D-4C4E-334D-AA2B-C00BD631F043}" name="10" totalsRowFunction="count" dataDxfId="140" totalsRowDxfId="139"/>
    <tableColumn id="12" xr3:uid="{DE7592CB-EEEB-8245-99BB-68066DC2F7D9}" name="11" totalsRowFunction="count" dataDxfId="138" totalsRowDxfId="137"/>
    <tableColumn id="13" xr3:uid="{AAF90A0E-2436-4B4A-BDF8-565BC215D408}" name="12" totalsRowFunction="count" dataDxfId="136" totalsRowDxfId="135"/>
    <tableColumn id="14" xr3:uid="{5C9B3436-5850-C447-90FF-387E64BE5E83}" name="13" totalsRowFunction="count" dataDxfId="134" totalsRowDxfId="133"/>
    <tableColumn id="15" xr3:uid="{BE692B07-9EFD-4A43-9C15-7C7EB26833C1}" name="14" totalsRowFunction="count" dataDxfId="132" totalsRowDxfId="131"/>
    <tableColumn id="16" xr3:uid="{172D2814-B326-1049-97CD-AD3D5779B051}" name="15" totalsRowFunction="count" dataDxfId="130" totalsRowDxfId="129"/>
    <tableColumn id="17" xr3:uid="{5112B595-945C-9546-A5CB-60DD0E83AAD0}" name="16" totalsRowFunction="count" dataDxfId="128" totalsRowDxfId="127"/>
    <tableColumn id="18" xr3:uid="{353AD550-ACB3-964C-A6BD-FCD185706230}" name="17" totalsRowFunction="count" dataDxfId="126" totalsRowDxfId="125"/>
    <tableColumn id="19" xr3:uid="{72377297-2D9F-B24E-8CFA-B269937C92D2}" name="18" totalsRowFunction="count" dataDxfId="124" totalsRowDxfId="123"/>
    <tableColumn id="20" xr3:uid="{B74A60A9-2A05-FE47-A933-2969D3A169F3}" name="19" totalsRowFunction="count" dataDxfId="122" totalsRowDxfId="121"/>
    <tableColumn id="21" xr3:uid="{84A2CCAB-A80A-6347-924E-2D7014D77740}" name="20" totalsRowFunction="count" dataDxfId="120" totalsRowDxfId="119"/>
    <tableColumn id="22" xr3:uid="{BD4C125D-C230-AB47-BD25-5DEA57D11807}" name="21" totalsRowFunction="count" dataDxfId="118" totalsRowDxfId="117"/>
    <tableColumn id="23" xr3:uid="{205D041A-6067-BD47-A056-8BF2AB7A39E4}" name="22" totalsRowFunction="count" dataDxfId="116" totalsRowDxfId="115"/>
    <tableColumn id="24" xr3:uid="{68227DDC-58EE-B041-9E6B-DCB65E6B1CAA}" name="23" totalsRowFunction="count" dataDxfId="114" totalsRowDxfId="113"/>
    <tableColumn id="25" xr3:uid="{1C93FC00-0C57-9645-A8F5-6532A6CB588F}" name="24" totalsRowFunction="count" dataDxfId="112" totalsRowDxfId="111"/>
    <tableColumn id="26" xr3:uid="{32C76AC2-34FA-0849-B011-3FD24AFFC2AF}" name="25" totalsRowFunction="count" dataDxfId="110" totalsRowDxfId="109"/>
    <tableColumn id="27" xr3:uid="{509FA6D8-2AAC-B348-A381-0FE951463CAC}" name="26" totalsRowFunction="count" dataDxfId="108" totalsRowDxfId="107"/>
    <tableColumn id="28" xr3:uid="{FAE49BCF-4AAE-1544-8895-F7D197AFA6C7}" name="27" totalsRowFunction="count" dataDxfId="106" totalsRowDxfId="105"/>
    <tableColumn id="29" xr3:uid="{BFF5258F-2E20-C740-BDDA-A8D4B5DAC743}" name="28" totalsRowFunction="count" dataDxfId="104" totalsRowDxfId="103"/>
    <tableColumn id="30" xr3:uid="{4734E107-F99A-A747-862F-15B85DD75662}" name="29" totalsRowFunction="count" dataDxfId="102" totalsRowDxfId="101"/>
    <tableColumn id="31" xr3:uid="{F80D65EA-74BD-9544-9FAA-B043C5F2A5B8}" name="30" totalsRowFunction="count" dataDxfId="100" totalsRowDxfId="99"/>
    <tableColumn id="32" xr3:uid="{C27866D4-22FE-D841-A9B7-6F36A290EFF0}" name="31" totalsRowFunction="count" dataDxfId="98" totalsRowDxfId="97"/>
    <tableColumn id="33" xr3:uid="{AFEA7326-165E-8F41-8A90-50F02E169D1B}" name="Total " totalsRowFunction="sum" dataDxfId="96" totalsRowDxfId="95">
      <calculatedColumnFormula>COUNTA(Décembre67891011121415161718[[#This Row],[1]:[31]])</calculatedColumnFormula>
    </tableColumn>
    <tableColumn id="34" xr3:uid="{F7912DF9-59C3-1B46-BEA5-8DD92F517521}" name="Acompte" dataDxfId="94" totalsRowDxfId="93"/>
    <tableColumn id="37" xr3:uid="{450EB3A6-5408-754E-A2AA-ABC9A0E9DC05}" name="Reste dû " dataDxfId="92" totalsRowDxfId="91">
      <calculatedColumnFormula>(AH7)-(AI7)</calculatedColumnFormula>
    </tableColumn>
    <tableColumn id="36" xr3:uid="{A7A3E01B-0FA1-3E44-89F2-CDAAF379AC2D}" name="CDC" dataDxfId="90" totalsRowDxfId="89"/>
    <tableColumn id="35" xr3:uid="{0C84C26C-5833-5A42-B706-07D75D832A25}" name="Commentaire" dataDxfId="88" totalsRowDxfId="87">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B5756C-4A1A-104B-BCB0-DD340763A4CE}" name="Décembre678910111214151617182" displayName="Décembre678910111214151617182" ref="B6:AL11" totalsRowCount="1" headerRowDxfId="76" dataDxfId="75" totalsRowDxfId="74">
  <tableColumns count="37">
    <tableColumn id="1" xr3:uid="{7B9C6A4E-9FD3-1943-B35D-0E3FBB5E8CF9}" name="Nom des locataires" dataDxfId="73" totalsRowDxfId="72" dataCellStyle="Employé"/>
    <tableColumn id="2" xr3:uid="{C50F39C5-3483-2D45-AFB8-FE8EF95FD391}" name="1" totalsRowFunction="count" dataDxfId="71" totalsRowDxfId="70"/>
    <tableColumn id="3" xr3:uid="{6A22A18C-0ABD-D54E-AAEA-BC16B2D5C991}" name="2" totalsRowFunction="count" dataDxfId="69" totalsRowDxfId="68"/>
    <tableColumn id="4" xr3:uid="{BB089DB9-45D7-A84F-AF7E-40D2B344989E}" name="3" totalsRowFunction="count" dataDxfId="67" totalsRowDxfId="66"/>
    <tableColumn id="5" xr3:uid="{1B6B49F9-8168-E544-B2E3-12E6BCF6C55B}" name="4" totalsRowFunction="count" dataDxfId="65" totalsRowDxfId="64"/>
    <tableColumn id="6" xr3:uid="{0809BA9D-568A-1549-8EE5-AC8340169B67}" name="5" totalsRowFunction="count" dataDxfId="63" totalsRowDxfId="62"/>
    <tableColumn id="7" xr3:uid="{D01EBF0B-E81A-BF46-9CCC-4913EACFE172}" name="6" totalsRowFunction="count" dataDxfId="61" totalsRowDxfId="60"/>
    <tableColumn id="8" xr3:uid="{EB16D575-625F-6344-A2BF-133801905D5B}" name="7" totalsRowFunction="count" dataDxfId="59" totalsRowDxfId="58"/>
    <tableColumn id="9" xr3:uid="{B93716FC-E25C-424C-9EFA-BFC5125B2A46}" name="8" totalsRowFunction="count" dataDxfId="57" totalsRowDxfId="56"/>
    <tableColumn id="10" xr3:uid="{D22CA86B-BD5B-3D46-90A8-7A82D3744D4C}" name="9" totalsRowFunction="count" dataDxfId="55" totalsRowDxfId="54"/>
    <tableColumn id="11" xr3:uid="{6EB3FA19-16CF-1F49-A5F3-13150AAD78BD}" name="10" totalsRowFunction="count" dataDxfId="53" totalsRowDxfId="52"/>
    <tableColumn id="12" xr3:uid="{90A7FA64-CA34-A04F-8314-94F0C9F97814}" name="11" totalsRowFunction="count" dataDxfId="51" totalsRowDxfId="50"/>
    <tableColumn id="13" xr3:uid="{098CB87B-4EC0-7B4A-B949-70D7AF4CA83A}" name="12" totalsRowFunction="count" dataDxfId="49" totalsRowDxfId="48"/>
    <tableColumn id="14" xr3:uid="{E21280A7-292A-C04A-B912-23A094384EFB}" name="13" totalsRowFunction="count" dataDxfId="47" totalsRowDxfId="46"/>
    <tableColumn id="15" xr3:uid="{1FE07722-5E21-1A46-AF9A-34672F2C3DAB}" name="14" totalsRowFunction="count" dataDxfId="45" totalsRowDxfId="44"/>
    <tableColumn id="16" xr3:uid="{B651B9BD-5ACA-324F-A2B6-EE9514749281}" name="15" totalsRowFunction="count" dataDxfId="43" totalsRowDxfId="42"/>
    <tableColumn id="17" xr3:uid="{03094FBD-0155-C144-BE07-196FFE8FD8CC}" name="16" totalsRowFunction="count" dataDxfId="41" totalsRowDxfId="40"/>
    <tableColumn id="18" xr3:uid="{F96395A8-D31E-F547-B6E8-8D00DE76D825}" name="17" totalsRowFunction="count" dataDxfId="39" totalsRowDxfId="38"/>
    <tableColumn id="19" xr3:uid="{A72BE5BA-C8B8-3149-9175-F0F0A2082BC8}" name="18" totalsRowFunction="count" dataDxfId="37" totalsRowDxfId="36"/>
    <tableColumn id="20" xr3:uid="{EDACEAC1-A256-C34D-BC74-18E0E37F4B42}" name="19" totalsRowFunction="count" dataDxfId="35" totalsRowDxfId="34"/>
    <tableColumn id="21" xr3:uid="{2E240D6E-616B-E24F-8498-0578AC0EE0D5}" name="20" totalsRowFunction="count" dataDxfId="33" totalsRowDxfId="32"/>
    <tableColumn id="22" xr3:uid="{18483777-4EED-B641-967D-42CC251207E2}" name="21" totalsRowFunction="count" dataDxfId="31" totalsRowDxfId="30"/>
    <tableColumn id="23" xr3:uid="{CF1CEF9D-F6B2-534E-843B-66DF1A6D33FE}" name="22" totalsRowFunction="count" dataDxfId="29" totalsRowDxfId="28"/>
    <tableColumn id="24" xr3:uid="{3DAE09FD-E19D-7847-AF8F-92BF881AEBB1}" name="23" totalsRowFunction="count" dataDxfId="27" totalsRowDxfId="26"/>
    <tableColumn id="25" xr3:uid="{52FAFD0B-3D0F-E14D-8568-D72E72536B24}" name="24" totalsRowFunction="count" dataDxfId="25" totalsRowDxfId="24"/>
    <tableColumn id="26" xr3:uid="{54B1CF8F-C497-FA48-A83B-8A8B682574C8}" name="25" totalsRowFunction="count" dataDxfId="23" totalsRowDxfId="22"/>
    <tableColumn id="27" xr3:uid="{1FEE017C-14CD-6048-9C66-20953B0FE663}" name="26" totalsRowFunction="count" dataDxfId="21" totalsRowDxfId="20"/>
    <tableColumn id="28" xr3:uid="{A17812DC-733F-CF4A-8690-D1363C530F0A}" name="27" totalsRowFunction="count" dataDxfId="19" totalsRowDxfId="18"/>
    <tableColumn id="29" xr3:uid="{A484BB0B-E10D-B142-B41C-27E36E6CE07C}" name="28" totalsRowFunction="count" dataDxfId="17" totalsRowDxfId="16"/>
    <tableColumn id="30" xr3:uid="{4DFA72C4-CAEB-3947-B99C-6E7FD539F36A}" name="29" totalsRowFunction="count" dataDxfId="15" totalsRowDxfId="14"/>
    <tableColumn id="31" xr3:uid="{6D0F4816-6C46-344A-9810-E8B0D2E83DDF}" name="30" totalsRowFunction="count" dataDxfId="13" totalsRowDxfId="12"/>
    <tableColumn id="32" xr3:uid="{FA452B4C-102B-CE43-9507-84B70F628889}" name="31" totalsRowFunction="count" dataDxfId="11" totalsRowDxfId="10"/>
    <tableColumn id="33" xr3:uid="{7BA7B1BB-9743-3A42-BB11-4D1992CF6BC5}" name="Total " totalsRowFunction="sum" dataDxfId="9" totalsRowDxfId="8">
      <calculatedColumnFormula>COUNTA(Décembre678910111214151617182[[#This Row],[1]:[31]])</calculatedColumnFormula>
    </tableColumn>
    <tableColumn id="34" xr3:uid="{E110FEC0-8AD6-1148-8434-60B9163BEA62}" name="Acompte" dataDxfId="7" totalsRowDxfId="6"/>
    <tableColumn id="37" xr3:uid="{4A7319D1-A71A-E841-9F7E-D9C80100ACA9}" name="Reste dû " dataDxfId="5" totalsRowDxfId="4">
      <calculatedColumnFormula>(AH7)-(AI7)</calculatedColumnFormula>
    </tableColumn>
    <tableColumn id="36" xr3:uid="{B8B9F4B9-1DA1-2642-B5EA-4F5263569961}" name="CDC" dataDxfId="3" totalsRowDxfId="2"/>
    <tableColumn id="35" xr3:uid="{1C21FD13-657F-CF49-AD1A-A2B1374245F0}" name="Commentaire" dataDxfId="1" totalsRowDxfId="0">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 /><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 /><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 /><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 /><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 /><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 /><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 /><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L23"/>
  <sheetViews>
    <sheetView showGridLines="0" topLeftCell="A12" zoomScaleNormal="100" workbookViewId="0">
      <selection activeCell="AB16" sqref="AB16"/>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7" width="8.20312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8" t="s">
        <v>42</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8">
        <v>2019</v>
      </c>
    </row>
    <row r="5" spans="2:38" ht="15" customHeight="1" x14ac:dyDescent="0.2">
      <c r="B5" s="8"/>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 t="s">
        <v>56</v>
      </c>
      <c r="AH5" s="8"/>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17" t="s">
        <v>74</v>
      </c>
      <c r="C7" s="18"/>
      <c r="D7" s="18"/>
      <c r="E7" s="18"/>
      <c r="F7" s="18"/>
      <c r="G7" s="18"/>
      <c r="H7" s="18"/>
      <c r="I7" s="18"/>
      <c r="J7" s="18"/>
      <c r="K7" s="18"/>
      <c r="L7" s="18"/>
      <c r="M7" s="18"/>
      <c r="N7" s="18"/>
      <c r="O7" s="18"/>
      <c r="P7" s="18"/>
      <c r="Q7" s="18"/>
      <c r="R7" s="2"/>
      <c r="S7" s="2"/>
      <c r="T7" s="2"/>
      <c r="U7" s="2"/>
      <c r="V7" s="2"/>
      <c r="W7" s="2"/>
      <c r="X7" s="2"/>
      <c r="Y7" s="2"/>
      <c r="Z7" s="2"/>
      <c r="AA7" s="2"/>
      <c r="AB7" s="2"/>
      <c r="AC7" s="2"/>
      <c r="AD7" s="2"/>
      <c r="AE7" s="2"/>
      <c r="AF7" s="2"/>
      <c r="AG7" s="2"/>
      <c r="AH7" s="32">
        <v>580</v>
      </c>
      <c r="AI7" s="20">
        <v>150</v>
      </c>
      <c r="AJ7" s="26">
        <f t="shared" ref="AJ7:AJ10" si="0">(AH7)-(AI7)</f>
        <v>430</v>
      </c>
      <c r="AK7" s="20">
        <v>200</v>
      </c>
      <c r="AL7" s="20" t="s">
        <v>64</v>
      </c>
    </row>
    <row r="8" spans="2:38" ht="30" customHeight="1" x14ac:dyDescent="0.2">
      <c r="B8" s="17" t="s">
        <v>73</v>
      </c>
      <c r="C8" s="2"/>
      <c r="D8" s="2"/>
      <c r="E8" s="2"/>
      <c r="F8" s="2"/>
      <c r="G8" s="2"/>
      <c r="H8" s="2"/>
      <c r="I8" s="2"/>
      <c r="J8" s="2"/>
      <c r="K8" s="2"/>
      <c r="L8" s="2"/>
      <c r="M8" s="2"/>
      <c r="N8" s="2"/>
      <c r="O8" s="2"/>
      <c r="P8" s="2"/>
      <c r="Q8" s="2"/>
      <c r="R8" s="2"/>
      <c r="S8" s="2"/>
      <c r="T8" s="2"/>
      <c r="U8" s="2"/>
      <c r="V8" s="2"/>
      <c r="W8" s="2"/>
      <c r="X8" s="2"/>
      <c r="Y8" s="2"/>
      <c r="Z8" s="2"/>
      <c r="AA8" s="18"/>
      <c r="AB8" s="18"/>
      <c r="AC8" s="18"/>
      <c r="AD8" s="18"/>
      <c r="AE8" s="18"/>
      <c r="AF8" s="18"/>
      <c r="AG8" s="18"/>
      <c r="AH8" s="32">
        <v>200</v>
      </c>
      <c r="AI8" s="21"/>
      <c r="AJ8" s="26">
        <f t="shared" si="0"/>
        <v>200</v>
      </c>
      <c r="AK8" s="21"/>
      <c r="AL8" s="20"/>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32">
        <f>COUNTA(Décembre[[#This Row],[1]:[31]])</f>
        <v>0</v>
      </c>
      <c r="AI9" s="21"/>
      <c r="AJ9" s="26">
        <f t="shared" si="0"/>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32">
        <f>COUNTA(Décembre[[#This Row],[1]:[31]])</f>
        <v>0</v>
      </c>
      <c r="AI10" s="21"/>
      <c r="AJ10" s="26">
        <f t="shared" si="0"/>
        <v>0</v>
      </c>
      <c r="AK10" s="21"/>
      <c r="AL10" s="20"/>
    </row>
    <row r="11" spans="2:38" ht="30" customHeight="1" x14ac:dyDescent="0.2">
      <c r="B11" s="12"/>
      <c r="C11" s="9">
        <f>SUBTOTAL(103,Décembre[1])</f>
        <v>0</v>
      </c>
      <c r="D11" s="9">
        <f>SUBTOTAL(103,Décembre[2])</f>
        <v>0</v>
      </c>
      <c r="E11" s="9">
        <f>SUBTOTAL(103,Décembre[3])</f>
        <v>0</v>
      </c>
      <c r="F11" s="9">
        <f>SUBTOTAL(103,Décembre[4])</f>
        <v>0</v>
      </c>
      <c r="G11" s="9">
        <f>SUBTOTAL(103,Décembre[5])</f>
        <v>0</v>
      </c>
      <c r="H11" s="9">
        <f>SUBTOTAL(103,Décembre[6])</f>
        <v>0</v>
      </c>
      <c r="I11" s="9">
        <f>SUBTOTAL(103,Décembre[7])</f>
        <v>0</v>
      </c>
      <c r="J11" s="9">
        <f>SUBTOTAL(103,Décembre[8])</f>
        <v>0</v>
      </c>
      <c r="K11" s="9">
        <f>SUBTOTAL(103,Décembre[9])</f>
        <v>0</v>
      </c>
      <c r="L11" s="9">
        <f>SUBTOTAL(103,Décembre[10])</f>
        <v>0</v>
      </c>
      <c r="M11" s="9">
        <f>SUBTOTAL(103,Décembre[11])</f>
        <v>0</v>
      </c>
      <c r="N11" s="9">
        <f>SUBTOTAL(103,Décembre[12])</f>
        <v>0</v>
      </c>
      <c r="O11" s="9">
        <f>SUBTOTAL(103,Décembre[13])</f>
        <v>0</v>
      </c>
      <c r="P11" s="9">
        <f>SUBTOTAL(103,Décembre[14])</f>
        <v>0</v>
      </c>
      <c r="Q11" s="9">
        <f>SUBTOTAL(103,Décembre[15])</f>
        <v>0</v>
      </c>
      <c r="R11" s="9">
        <f>SUBTOTAL(103,Décembre[16])</f>
        <v>0</v>
      </c>
      <c r="S11" s="9">
        <f>SUBTOTAL(103,Décembre[17])</f>
        <v>0</v>
      </c>
      <c r="T11" s="9">
        <f>SUBTOTAL(103,Décembre[18])</f>
        <v>0</v>
      </c>
      <c r="U11" s="9">
        <f>SUBTOTAL(103,Décembre[19])</f>
        <v>0</v>
      </c>
      <c r="V11" s="9">
        <f>SUBTOTAL(103,Décembre[20])</f>
        <v>0</v>
      </c>
      <c r="W11" s="9">
        <f>SUBTOTAL(103,Décembre[21])</f>
        <v>0</v>
      </c>
      <c r="X11" s="9">
        <f>SUBTOTAL(103,Décembre[22])</f>
        <v>0</v>
      </c>
      <c r="Y11" s="9">
        <f>SUBTOTAL(103,Décembre[23])</f>
        <v>0</v>
      </c>
      <c r="Z11" s="9">
        <f>SUBTOTAL(103,Décembre[24])</f>
        <v>0</v>
      </c>
      <c r="AA11" s="9">
        <f>SUBTOTAL(103,Décembre[25])</f>
        <v>0</v>
      </c>
      <c r="AB11" s="9">
        <f>SUBTOTAL(103,Décembre[26])</f>
        <v>0</v>
      </c>
      <c r="AC11" s="9">
        <f>SUBTOTAL(103,Décembre[27])</f>
        <v>0</v>
      </c>
      <c r="AD11" s="9">
        <f>SUBTOTAL(103,Décembre[28])</f>
        <v>0</v>
      </c>
      <c r="AE11" s="9">
        <f>SUBTOTAL(103,Décembre[29])</f>
        <v>0</v>
      </c>
      <c r="AF11" s="9">
        <f>SUBTOTAL(103,Décembre[30])</f>
        <v>0</v>
      </c>
      <c r="AG11" s="9">
        <f>SUBTOTAL(103,Décembre[31])</f>
        <v>0</v>
      </c>
      <c r="AH11" s="33">
        <f>SUBTOTAL(109,Décembre[[Total ]])</f>
        <v>780</v>
      </c>
      <c r="AI11" s="22"/>
      <c r="AJ11" s="22"/>
      <c r="AK11" s="22"/>
      <c r="AL11" s="22"/>
    </row>
    <row r="13" spans="2:38" ht="30" customHeight="1" x14ac:dyDescent="0.2">
      <c r="B13" s="29" t="s">
        <v>72</v>
      </c>
      <c r="C13" s="69">
        <f>SUM(C14:C17)</f>
        <v>180</v>
      </c>
      <c r="D13" s="69"/>
    </row>
    <row r="14" spans="2:38" ht="30" customHeight="1" x14ac:dyDescent="0.2">
      <c r="B14" s="27" t="s">
        <v>47</v>
      </c>
      <c r="C14" s="28">
        <v>60</v>
      </c>
    </row>
    <row r="15" spans="2:38" ht="30" customHeight="1" x14ac:dyDescent="0.2">
      <c r="B15" s="27" t="s">
        <v>48</v>
      </c>
      <c r="C15" s="28">
        <v>60</v>
      </c>
    </row>
    <row r="16" spans="2:38" ht="30" customHeight="1" x14ac:dyDescent="0.2">
      <c r="B16" s="27" t="s">
        <v>82</v>
      </c>
      <c r="C16" s="28">
        <v>60</v>
      </c>
    </row>
    <row r="17" spans="2:3" ht="30" customHeight="1" x14ac:dyDescent="0.2">
      <c r="B17" s="27"/>
      <c r="C17" s="28"/>
    </row>
    <row r="19" spans="2:3" ht="30" customHeight="1" x14ac:dyDescent="0.2">
      <c r="B19" s="30" t="s">
        <v>76</v>
      </c>
      <c r="C19" s="7" t="s">
        <v>78</v>
      </c>
    </row>
    <row r="20" spans="2:3" ht="30" customHeight="1" x14ac:dyDescent="0.2">
      <c r="B20" s="7">
        <v>580</v>
      </c>
    </row>
    <row r="21" spans="2:3" ht="30" customHeight="1" x14ac:dyDescent="0.2">
      <c r="B21" s="7">
        <v>150</v>
      </c>
    </row>
    <row r="22" spans="2:3" ht="30" customHeight="1" x14ac:dyDescent="0.2">
      <c r="B22" s="7">
        <f>B20-B21</f>
        <v>430</v>
      </c>
    </row>
    <row r="23" spans="2:3" ht="30" customHeight="1" x14ac:dyDescent="0.2">
      <c r="B23" s="31">
        <f>B22-C13</f>
        <v>250</v>
      </c>
      <c r="C23" s="7" t="s">
        <v>97</v>
      </c>
    </row>
  </sheetData>
  <mergeCells count="7">
    <mergeCell ref="C13:D13"/>
    <mergeCell ref="C4:AG4"/>
    <mergeCell ref="D2:E2"/>
    <mergeCell ref="N2:Q2"/>
    <mergeCell ref="S2:V2"/>
    <mergeCell ref="G2:H2"/>
    <mergeCell ref="J2:M2"/>
  </mergeCells>
  <conditionalFormatting sqref="C7:AG10">
    <cfRule type="expression" priority="1" stopIfTrue="1">
      <formula>C7=""</formula>
    </cfRule>
  </conditionalFormatting>
  <conditionalFormatting sqref="C7:AG10">
    <cfRule type="expression" dxfId="1169" priority="2" stopIfTrue="1">
      <formula>C7=CléPersonnalisée2</formula>
    </cfRule>
    <cfRule type="expression" dxfId="1168" priority="3" stopIfTrue="1">
      <formula>C7=CléPersonnalisée1</formula>
    </cfRule>
    <cfRule type="expression" dxfId="1167" priority="4" stopIfTrue="1">
      <formula>C7=CléMaladie</formula>
    </cfRule>
    <cfRule type="expression" dxfId="1166" priority="5" stopIfTrue="1">
      <formula>C7=CléPersonnel</formula>
    </cfRule>
    <cfRule type="expression" dxfId="1165" priority="6" stopIfTrue="1">
      <formula>C7=CléCongé</formula>
    </cfRule>
  </conditionalFormatting>
  <conditionalFormatting sqref="AH7:AH10">
    <cfRule type="dataBar" priority="169">
      <dataBar>
        <cfvo type="min"/>
        <cfvo type="formula" val="DATEDIF(DATE(AnnéeCalendrier,2,1),DATE(AnnéeCalendrier,3,1),&quot;d&quot;)"/>
        <color theme="2" tint="-0.249977111117893"/>
      </dataBar>
      <extLst>
        <ext xmlns:x14="http://schemas.microsoft.com/office/spreadsheetml/2009/9/main" uri="{B025F937-C7B1-47D3-B67F-A62EFF666E3E}">
          <x14:id>{17586780-365B-4F4C-BBB4-F5991705D361}</x14:id>
        </ext>
      </extLst>
    </cfRule>
  </conditionalFormatting>
  <dataValidations count="6">
    <dataValidation allowBlank="1" showInputMessage="1" showErrorMessage="1" prompt="Année mise à jour automatiquement en fonction de l’année entrée dans la feuille de calcul Janvier" sqref="AH4" xr:uid="{00000000-0002-0000-0B00-000000000000}"/>
    <dataValidation allowBlank="1" showInputMessage="1" showErrorMessage="1" prompt="Suivez les absences du mois de décembre dans cette feuille de calcul" sqref="A1" xr:uid="{00000000-0002-0000-0B00-000002000000}"/>
    <dataValidation allowBlank="1" showInputMessage="1" showErrorMessage="1" prompt="Entrez une lettre et personnalisez l’étiquette à droite pour ajouter un élément de clé" sqref="R2" xr:uid="{00000000-0002-0000-0B00-000008000000}"/>
    <dataValidation allowBlank="1" showInputMessage="1" showErrorMessage="1" prompt="Entrez une étiquette pour décrire la clé personnalisée à gauche" sqref="N2 S2" xr:uid="{00000000-0002-0000-0B00-000009000000}"/>
    <dataValidation allowBlank="1" showInputMessage="1" showErrorMessage="1" prompt="Nom du mois pour ce calendrier des absences dans cette cellule. Le total des absences pour ce mois figure dans la dernière cellule du tableau. Sélectionnez les noms des employés dans la colonne B du tableau" sqref="B4" xr:uid="{00000000-0002-0000-0B00-00000B000000}"/>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00000000-0002-0000-0B00-00000D000000}"/>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444B-4E5A-0446-B36D-9ACF4CF0A641}">
  <sheetPr>
    <tabColor theme="7" tint="0.79998168889431442"/>
  </sheetPr>
  <dimension ref="A1:AL25"/>
  <sheetViews>
    <sheetView showGridLines="0" topLeftCell="A12" zoomScaleNormal="100" workbookViewId="0">
      <selection activeCell="B14" sqref="B14:J25"/>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t="s">
        <v>43</v>
      </c>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13" t="s">
        <v>0</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13">
        <v>2020</v>
      </c>
    </row>
    <row r="5" spans="2:38" ht="15" customHeight="1" x14ac:dyDescent="0.2">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 t="s">
        <v>52</v>
      </c>
      <c r="AH5" s="1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17" t="s">
        <v>79</v>
      </c>
      <c r="C7" s="2"/>
      <c r="D7" s="2"/>
      <c r="E7" s="2"/>
      <c r="F7" s="2"/>
      <c r="G7" s="2"/>
      <c r="H7" s="2"/>
      <c r="I7" s="2"/>
      <c r="J7" s="2"/>
      <c r="K7" s="2"/>
      <c r="L7" s="2"/>
      <c r="M7" s="2"/>
      <c r="N7" s="2"/>
      <c r="O7" s="2"/>
      <c r="P7" s="2"/>
      <c r="Q7" s="18"/>
      <c r="R7" s="18"/>
      <c r="S7" s="18"/>
      <c r="T7" s="18"/>
      <c r="U7" s="18"/>
      <c r="V7" s="18"/>
      <c r="W7" s="18"/>
      <c r="X7" s="18"/>
      <c r="Y7" s="18"/>
      <c r="Z7" s="2"/>
      <c r="AA7" s="2"/>
      <c r="AB7" s="2"/>
      <c r="AC7" s="2"/>
      <c r="AD7" s="2"/>
      <c r="AE7" s="2"/>
      <c r="AF7" s="2"/>
      <c r="AG7" s="2"/>
      <c r="AH7" s="34">
        <v>310</v>
      </c>
      <c r="AI7" s="20" t="s">
        <v>89</v>
      </c>
      <c r="AJ7" s="42" t="s">
        <v>89</v>
      </c>
      <c r="AK7" s="20"/>
      <c r="AL7" s="20"/>
    </row>
    <row r="8" spans="2:38" ht="30" customHeight="1" x14ac:dyDescent="0.2">
      <c r="B8" s="17" t="s">
        <v>85</v>
      </c>
      <c r="C8" s="2"/>
      <c r="D8" s="2"/>
      <c r="E8" s="2"/>
      <c r="F8" s="2"/>
      <c r="G8" s="2"/>
      <c r="H8" s="2"/>
      <c r="I8" s="2"/>
      <c r="J8" s="2"/>
      <c r="K8" s="2"/>
      <c r="L8" s="18"/>
      <c r="M8" s="18"/>
      <c r="N8" s="18"/>
      <c r="O8" s="2"/>
      <c r="P8" s="2"/>
      <c r="Q8" s="2"/>
      <c r="R8" s="2"/>
      <c r="S8" s="2"/>
      <c r="T8" s="2"/>
      <c r="U8" s="2"/>
      <c r="V8" s="2"/>
      <c r="W8" s="2"/>
      <c r="X8" s="2"/>
      <c r="Y8" s="2"/>
      <c r="Z8" s="2"/>
      <c r="AA8" s="2"/>
      <c r="AB8" s="2"/>
      <c r="AC8" s="2"/>
      <c r="AD8" s="2"/>
      <c r="AE8" s="2"/>
      <c r="AF8" s="2"/>
      <c r="AG8" s="2"/>
      <c r="AH8" s="34">
        <v>84</v>
      </c>
      <c r="AI8" s="21"/>
      <c r="AJ8" s="42" t="s">
        <v>89</v>
      </c>
      <c r="AK8" s="21"/>
      <c r="AL8" s="20" t="s">
        <v>94</v>
      </c>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34">
        <f>COUNTA(Décembre6[[#This Row],[1]:[31]])</f>
        <v>0</v>
      </c>
      <c r="AI9" s="21"/>
      <c r="AJ9" s="42">
        <f t="shared" ref="AJ9:AJ10" si="0">AH9-AI9</f>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34">
        <f>COUNTA(Décembre6[[#This Row],[1]:[31]])</f>
        <v>0</v>
      </c>
      <c r="AI10" s="21"/>
      <c r="AJ10" s="42">
        <f t="shared" si="0"/>
        <v>0</v>
      </c>
      <c r="AK10" s="21"/>
      <c r="AL10" s="20"/>
    </row>
    <row r="11" spans="2:38" ht="30" customHeight="1" x14ac:dyDescent="0.2">
      <c r="B11" s="12"/>
      <c r="C11" s="9">
        <f>SUBTOTAL(103,Décembre6[1])</f>
        <v>0</v>
      </c>
      <c r="D11" s="9">
        <f>SUBTOTAL(103,Décembre6[2])</f>
        <v>0</v>
      </c>
      <c r="E11" s="9">
        <f>SUBTOTAL(103,Décembre6[3])</f>
        <v>0</v>
      </c>
      <c r="F11" s="9">
        <f>SUBTOTAL(103,Décembre6[4])</f>
        <v>0</v>
      </c>
      <c r="G11" s="9">
        <f>SUBTOTAL(103,Décembre6[5])</f>
        <v>0</v>
      </c>
      <c r="H11" s="9">
        <f>SUBTOTAL(103,Décembre6[6])</f>
        <v>0</v>
      </c>
      <c r="I11" s="9">
        <f>SUBTOTAL(103,Décembre6[7])</f>
        <v>0</v>
      </c>
      <c r="J11" s="9">
        <f>SUBTOTAL(103,Décembre6[8])</f>
        <v>0</v>
      </c>
      <c r="K11" s="9">
        <f>SUBTOTAL(103,Décembre6[9])</f>
        <v>0</v>
      </c>
      <c r="L11" s="9">
        <f>SUBTOTAL(103,Décembre6[10])</f>
        <v>0</v>
      </c>
      <c r="M11" s="9">
        <f>SUBTOTAL(103,Décembre6[11])</f>
        <v>0</v>
      </c>
      <c r="N11" s="9">
        <f>SUBTOTAL(103,Décembre6[12])</f>
        <v>0</v>
      </c>
      <c r="O11" s="9">
        <f>SUBTOTAL(103,Décembre6[13])</f>
        <v>0</v>
      </c>
      <c r="P11" s="9">
        <f>SUBTOTAL(103,Décembre6[14])</f>
        <v>0</v>
      </c>
      <c r="Q11" s="9">
        <f>SUBTOTAL(103,Décembre6[15])</f>
        <v>0</v>
      </c>
      <c r="R11" s="9">
        <f>SUBTOTAL(103,Décembre6[16])</f>
        <v>0</v>
      </c>
      <c r="S11" s="9">
        <f>SUBTOTAL(103,Décembre6[17])</f>
        <v>0</v>
      </c>
      <c r="T11" s="9">
        <f>SUBTOTAL(103,Décembre6[18])</f>
        <v>0</v>
      </c>
      <c r="U11" s="9">
        <f>SUBTOTAL(103,Décembre6[19])</f>
        <v>0</v>
      </c>
      <c r="V11" s="9">
        <f>SUBTOTAL(103,Décembre6[20])</f>
        <v>0</v>
      </c>
      <c r="W11" s="9">
        <f>SUBTOTAL(103,Décembre6[21])</f>
        <v>0</v>
      </c>
      <c r="X11" s="9">
        <f>SUBTOTAL(103,Décembre6[22])</f>
        <v>0</v>
      </c>
      <c r="Y11" s="9">
        <f>SUBTOTAL(103,Décembre6[23])</f>
        <v>0</v>
      </c>
      <c r="Z11" s="9">
        <f>SUBTOTAL(103,Décembre6[24])</f>
        <v>0</v>
      </c>
      <c r="AA11" s="9">
        <f>SUBTOTAL(103,Décembre6[25])</f>
        <v>0</v>
      </c>
      <c r="AB11" s="9">
        <f>SUBTOTAL(103,Décembre6[26])</f>
        <v>0</v>
      </c>
      <c r="AC11" s="9">
        <f>SUBTOTAL(103,Décembre6[27])</f>
        <v>0</v>
      </c>
      <c r="AD11" s="9">
        <f>SUBTOTAL(103,Décembre6[28])</f>
        <v>0</v>
      </c>
      <c r="AE11" s="9">
        <f>SUBTOTAL(103,Décembre6[29])</f>
        <v>0</v>
      </c>
      <c r="AF11" s="9">
        <f>SUBTOTAL(103,Décembre6[30])</f>
        <v>0</v>
      </c>
      <c r="AG11" s="9">
        <f>SUBTOTAL(103,Décembre6[31])</f>
        <v>0</v>
      </c>
      <c r="AH11" s="35">
        <f>SUBTOTAL(109,Décembre6[[Total ]])</f>
        <v>394</v>
      </c>
      <c r="AI11" s="22"/>
      <c r="AJ11" s="43">
        <f>SUM(Décembre6[[Reste dû ]])</f>
        <v>0</v>
      </c>
      <c r="AK11" s="22"/>
      <c r="AL11" s="22"/>
    </row>
    <row r="14" spans="2:38" ht="30" customHeight="1" x14ac:dyDescent="0.2">
      <c r="B14" s="29" t="s">
        <v>72</v>
      </c>
      <c r="C14" s="36">
        <f>SUM(C15:C18)</f>
        <v>0</v>
      </c>
      <c r="D14" s="36"/>
    </row>
    <row r="15" spans="2:38" ht="30" customHeight="1" x14ac:dyDescent="0.2">
      <c r="B15" s="27" t="s">
        <v>80</v>
      </c>
      <c r="C15" s="37">
        <v>0</v>
      </c>
      <c r="D15" s="28" t="s">
        <v>77</v>
      </c>
    </row>
    <row r="16" spans="2:38" ht="30" customHeight="1" x14ac:dyDescent="0.2">
      <c r="B16" s="27"/>
      <c r="C16" s="37"/>
    </row>
    <row r="17" spans="2:9" ht="30" customHeight="1" x14ac:dyDescent="0.2">
      <c r="B17" s="27"/>
      <c r="C17" s="37"/>
    </row>
    <row r="18" spans="2:9" ht="30" customHeight="1" x14ac:dyDescent="0.2">
      <c r="B18" s="27"/>
      <c r="C18" s="37"/>
    </row>
    <row r="20" spans="2:9" ht="30" customHeight="1" x14ac:dyDescent="0.2">
      <c r="B20" s="39" t="s">
        <v>76</v>
      </c>
    </row>
    <row r="21" spans="2:9" ht="30" customHeight="1" x14ac:dyDescent="0.2">
      <c r="B21" s="49">
        <f>AJ11</f>
        <v>0</v>
      </c>
      <c r="C21" s="7" t="s">
        <v>83</v>
      </c>
    </row>
    <row r="22" spans="2:9" ht="30" customHeight="1" x14ac:dyDescent="0.2">
      <c r="B22" s="49">
        <v>140</v>
      </c>
      <c r="C22" s="7" t="s">
        <v>93</v>
      </c>
      <c r="I22" s="7" t="s">
        <v>92</v>
      </c>
    </row>
    <row r="23" spans="2:9" ht="30" customHeight="1" x14ac:dyDescent="0.2">
      <c r="B23" s="40">
        <v>84</v>
      </c>
      <c r="C23" s="7" t="s">
        <v>86</v>
      </c>
    </row>
    <row r="24" spans="2:9" ht="30" customHeight="1" x14ac:dyDescent="0.2">
      <c r="B24" s="41">
        <f>C14</f>
        <v>0</v>
      </c>
      <c r="C24" s="7" t="s">
        <v>81</v>
      </c>
    </row>
    <row r="25" spans="2:9" ht="30" customHeight="1" x14ac:dyDescent="0.2">
      <c r="B25" s="38">
        <v>140</v>
      </c>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1088" priority="2" stopIfTrue="1">
      <formula>C7=CléPersonnalisée2</formula>
    </cfRule>
    <cfRule type="expression" dxfId="1087" priority="3" stopIfTrue="1">
      <formula>C7=CléPersonnalisée1</formula>
    </cfRule>
    <cfRule type="expression" dxfId="1086" priority="4" stopIfTrue="1">
      <formula>C7=CléMaladie</formula>
    </cfRule>
    <cfRule type="expression" dxfId="1085" priority="5" stopIfTrue="1">
      <formula>C7=CléPersonnel</formula>
    </cfRule>
    <cfRule type="expression" dxfId="1084"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{1440D14D-39ED-1246-9B1F-3602E1E22B1D}</x14:id>
        </ext>
      </extLst>
    </cfRule>
  </conditionalFormatting>
  <dataValidations count="6">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A55BF620-1AD0-414C-A862-ADAB95061776}"/>
    <dataValidation allowBlank="1" showInputMessage="1" showErrorMessage="1" prompt="Nom du mois pour ce calendrier des absences dans cette cellule. Le total des absences pour ce mois figure dans la dernière cellule du tableau. Sélectionnez les noms des employés dans la colonne B du tableau" sqref="B4" xr:uid="{C66DD0CA-A509-2F4F-8B0C-208F20A19759}"/>
    <dataValidation allowBlank="1" showInputMessage="1" showErrorMessage="1" prompt="Entrez une étiquette pour décrire la clé personnalisée à gauche" sqref="N2 S2" xr:uid="{1C040103-77E4-6A42-968F-5F56A88A75C1}"/>
    <dataValidation allowBlank="1" showInputMessage="1" showErrorMessage="1" prompt="Entrez une lettre et personnalisez l’étiquette à droite pour ajouter un élément de clé" sqref="R2" xr:uid="{28D3569C-F2CD-8342-8D24-42DDBB9751A0}"/>
    <dataValidation allowBlank="1" showInputMessage="1" showErrorMessage="1" prompt="Suivez les absences du mois de décembre dans cette feuille de calcul" sqref="A1" xr:uid="{B414F295-663D-4747-98E6-25B5EF2845D1}"/>
    <dataValidation allowBlank="1" showInputMessage="1" showErrorMessage="1" prompt="Année mise à jour automatiquement en fonction de l’année entrée dans la feuille de calcul Janvier" sqref="AH4" xr:uid="{7C199B0F-1FE9-6B41-BC86-263CE60C686E}"/>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40D14D-39ED-1246-9B1F-3602E1E22B1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BE79-357E-9D4A-B44A-FA07ED98A5F5}">
  <sheetPr>
    <tabColor theme="7" tint="0.79998168889431442"/>
  </sheetPr>
  <dimension ref="A1:AJ27"/>
  <sheetViews>
    <sheetView showGridLines="0" topLeftCell="H1" zoomScaleNormal="100" workbookViewId="0">
      <selection activeCell="B27" sqref="B27"/>
    </sheetView>
  </sheetViews>
  <sheetFormatPr defaultColWidth="9.14453125" defaultRowHeight="30" customHeight="1" x14ac:dyDescent="0.2"/>
  <cols>
    <col min="1" max="1" width="2.6875" style="7" customWidth="1"/>
    <col min="2" max="2" width="25.69140625" style="7" customWidth="1"/>
    <col min="3" max="3" width="6.3203125" style="7" customWidth="1"/>
    <col min="4" max="31" width="4.70703125" style="7" customWidth="1"/>
    <col min="32" max="32" width="13.44921875" style="7" customWidth="1"/>
    <col min="33" max="34" width="9.14453125" customWidth="1"/>
    <col min="35" max="35" width="9.01171875" customWidth="1"/>
    <col min="36" max="36" width="20.984375" customWidth="1"/>
  </cols>
  <sheetData>
    <row r="1" spans="2:36" ht="50.1" customHeight="1" x14ac:dyDescent="0.2">
      <c r="B1" s="10" t="s">
        <v>65</v>
      </c>
    </row>
    <row r="2" spans="2:36"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6" ht="15" customHeight="1" x14ac:dyDescent="0.2">
      <c r="B3" s="10"/>
    </row>
    <row r="4" spans="2:36" ht="30" customHeight="1" x14ac:dyDescent="0.2">
      <c r="B4" s="13" t="s">
        <v>32</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13">
        <v>2020</v>
      </c>
    </row>
    <row r="5" spans="2:36" ht="15" customHeight="1" x14ac:dyDescent="0.2">
      <c r="B5" s="13"/>
      <c r="C5" s="1" t="s">
        <v>67</v>
      </c>
      <c r="D5" s="1" t="s">
        <v>54</v>
      </c>
      <c r="E5" s="1" t="s">
        <v>55</v>
      </c>
      <c r="F5" s="1" t="s">
        <v>56</v>
      </c>
      <c r="G5" s="1" t="s">
        <v>57</v>
      </c>
      <c r="H5" s="1" t="s">
        <v>51</v>
      </c>
      <c r="I5" s="1" t="s">
        <v>52</v>
      </c>
      <c r="J5" s="1" t="s">
        <v>53</v>
      </c>
      <c r="K5" s="1" t="s">
        <v>54</v>
      </c>
      <c r="L5" s="1" t="s">
        <v>55</v>
      </c>
      <c r="M5" s="1" t="s">
        <v>56</v>
      </c>
      <c r="N5" s="1" t="s">
        <v>57</v>
      </c>
      <c r="O5" s="1" t="s">
        <v>51</v>
      </c>
      <c r="P5" s="1" t="s">
        <v>52</v>
      </c>
      <c r="Q5" s="1" t="s">
        <v>53</v>
      </c>
      <c r="R5" s="1" t="s">
        <v>54</v>
      </c>
      <c r="S5" s="1" t="s">
        <v>55</v>
      </c>
      <c r="T5" s="1" t="s">
        <v>56</v>
      </c>
      <c r="U5" s="1" t="s">
        <v>57</v>
      </c>
      <c r="V5" s="1" t="s">
        <v>51</v>
      </c>
      <c r="W5" s="1" t="s">
        <v>52</v>
      </c>
      <c r="X5" s="1" t="s">
        <v>53</v>
      </c>
      <c r="Y5" s="1" t="s">
        <v>54</v>
      </c>
      <c r="Z5" s="1" t="s">
        <v>55</v>
      </c>
      <c r="AA5" s="1" t="s">
        <v>56</v>
      </c>
      <c r="AB5" s="1" t="s">
        <v>57</v>
      </c>
      <c r="AC5" s="1" t="s">
        <v>51</v>
      </c>
      <c r="AD5" s="1" t="s">
        <v>52</v>
      </c>
      <c r="AE5" s="1" t="s">
        <v>53</v>
      </c>
      <c r="AF5" s="13"/>
    </row>
    <row r="6" spans="2:36"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11" t="s">
        <v>58</v>
      </c>
      <c r="AG6" s="19" t="s">
        <v>59</v>
      </c>
      <c r="AH6" s="25" t="s">
        <v>63</v>
      </c>
      <c r="AI6" s="23" t="s">
        <v>61</v>
      </c>
      <c r="AJ6" s="24" t="s">
        <v>62</v>
      </c>
    </row>
    <row r="7" spans="2:36" ht="30" customHeight="1" x14ac:dyDescent="0.2">
      <c r="B7" s="17" t="s">
        <v>75</v>
      </c>
      <c r="C7" s="2"/>
      <c r="D7" s="2"/>
      <c r="E7" s="2"/>
      <c r="F7" s="2"/>
      <c r="G7" s="2"/>
      <c r="H7" s="2"/>
      <c r="I7" s="2"/>
      <c r="J7" s="18"/>
      <c r="K7" s="18"/>
      <c r="L7" s="18"/>
      <c r="M7" s="18"/>
      <c r="N7" s="18"/>
      <c r="O7" s="18"/>
      <c r="P7" s="18"/>
      <c r="Q7" s="18"/>
      <c r="R7" s="2"/>
      <c r="S7" s="2"/>
      <c r="T7" s="2"/>
      <c r="U7" s="2"/>
      <c r="V7" s="2"/>
      <c r="W7" s="2"/>
      <c r="X7" s="2"/>
      <c r="Y7" s="2"/>
      <c r="Z7" s="2"/>
      <c r="AA7" s="2"/>
      <c r="AB7" s="2"/>
      <c r="AC7" s="2"/>
      <c r="AD7" s="2"/>
      <c r="AE7" s="2"/>
      <c r="AF7" s="44">
        <v>200</v>
      </c>
      <c r="AG7" s="45"/>
      <c r="AH7" s="42">
        <f t="shared" ref="AH7:AH10" si="0">(AF7)-(AG7)</f>
        <v>200</v>
      </c>
      <c r="AI7" s="45"/>
      <c r="AJ7" s="20" t="s">
        <v>101</v>
      </c>
    </row>
    <row r="8" spans="2:36" ht="30" customHeight="1" x14ac:dyDescent="0.2">
      <c r="B8" s="17" t="s">
        <v>91</v>
      </c>
      <c r="C8" s="2"/>
      <c r="D8" s="2"/>
      <c r="E8" s="2"/>
      <c r="F8" s="2"/>
      <c r="G8" s="2"/>
      <c r="H8" s="2"/>
      <c r="I8" s="2"/>
      <c r="J8" s="2"/>
      <c r="K8" s="2"/>
      <c r="L8" s="2"/>
      <c r="M8" s="2"/>
      <c r="N8" s="2"/>
      <c r="O8" s="2"/>
      <c r="P8" s="2"/>
      <c r="Q8" s="2"/>
      <c r="R8" s="2"/>
      <c r="S8" s="2"/>
      <c r="T8" s="2"/>
      <c r="U8" s="18"/>
      <c r="V8" s="18"/>
      <c r="W8" s="18"/>
      <c r="X8" s="18"/>
      <c r="Y8" s="18"/>
      <c r="Z8" s="18"/>
      <c r="AA8" s="18"/>
      <c r="AB8" s="18"/>
      <c r="AC8" s="18"/>
      <c r="AD8" s="18"/>
      <c r="AE8" s="18"/>
      <c r="AF8" s="44">
        <v>318</v>
      </c>
      <c r="AG8" s="45"/>
      <c r="AH8" s="42">
        <f t="shared" si="0"/>
        <v>318</v>
      </c>
      <c r="AI8" s="45" t="s">
        <v>102</v>
      </c>
      <c r="AJ8" s="20" t="s">
        <v>98</v>
      </c>
    </row>
    <row r="9" spans="2:36"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44">
        <v>0</v>
      </c>
      <c r="AG9" s="45"/>
      <c r="AH9" s="42">
        <f t="shared" si="0"/>
        <v>0</v>
      </c>
      <c r="AI9" s="45"/>
      <c r="AJ9" s="20"/>
    </row>
    <row r="10" spans="2:36"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44">
        <v>0</v>
      </c>
      <c r="AG10" s="45"/>
      <c r="AH10" s="42">
        <f t="shared" si="0"/>
        <v>0</v>
      </c>
      <c r="AI10" s="45"/>
      <c r="AJ10" s="20"/>
    </row>
    <row r="11" spans="2:36" ht="30" customHeight="1" x14ac:dyDescent="0.2">
      <c r="B11" s="12"/>
      <c r="C11" s="9">
        <f>SUBTOTAL(103,Décembre67[1])</f>
        <v>0</v>
      </c>
      <c r="D11" s="9">
        <f>SUBTOTAL(103,Décembre67[2])</f>
        <v>0</v>
      </c>
      <c r="E11" s="9">
        <f>SUBTOTAL(103,Décembre67[3])</f>
        <v>0</v>
      </c>
      <c r="F11" s="9">
        <f>SUBTOTAL(103,Décembre67[4])</f>
        <v>0</v>
      </c>
      <c r="G11" s="9">
        <f>SUBTOTAL(103,Décembre67[5])</f>
        <v>0</v>
      </c>
      <c r="H11" s="9">
        <f>SUBTOTAL(103,Décembre67[6])</f>
        <v>0</v>
      </c>
      <c r="I11" s="9">
        <f>SUBTOTAL(103,Décembre67[7])</f>
        <v>0</v>
      </c>
      <c r="J11" s="9">
        <f>SUBTOTAL(103,Décembre67[8])</f>
        <v>0</v>
      </c>
      <c r="K11" s="9">
        <f>SUBTOTAL(103,Décembre67[9])</f>
        <v>0</v>
      </c>
      <c r="L11" s="9">
        <f>SUBTOTAL(103,Décembre67[10])</f>
        <v>0</v>
      </c>
      <c r="M11" s="9">
        <f>SUBTOTAL(103,Décembre67[11])</f>
        <v>0</v>
      </c>
      <c r="N11" s="9">
        <f>SUBTOTAL(103,Décembre67[12])</f>
        <v>0</v>
      </c>
      <c r="O11" s="9">
        <f>SUBTOTAL(103,Décembre67[13])</f>
        <v>0</v>
      </c>
      <c r="P11" s="9">
        <f>SUBTOTAL(103,Décembre67[14])</f>
        <v>0</v>
      </c>
      <c r="Q11" s="9">
        <f>SUBTOTAL(103,Décembre67[15])</f>
        <v>0</v>
      </c>
      <c r="R11" s="9">
        <f>SUBTOTAL(103,Décembre67[16])</f>
        <v>0</v>
      </c>
      <c r="S11" s="9">
        <f>SUBTOTAL(103,Décembre67[17])</f>
        <v>0</v>
      </c>
      <c r="T11" s="9">
        <f>SUBTOTAL(103,Décembre67[18])</f>
        <v>0</v>
      </c>
      <c r="U11" s="9">
        <f>SUBTOTAL(103,Décembre67[19])</f>
        <v>0</v>
      </c>
      <c r="V11" s="9">
        <f>SUBTOTAL(103,Décembre67[20])</f>
        <v>0</v>
      </c>
      <c r="W11" s="9">
        <f>SUBTOTAL(103,Décembre67[21])</f>
        <v>0</v>
      </c>
      <c r="X11" s="9">
        <f>SUBTOTAL(103,Décembre67[22])</f>
        <v>0</v>
      </c>
      <c r="Y11" s="9">
        <f>SUBTOTAL(103,Décembre67[23])</f>
        <v>0</v>
      </c>
      <c r="Z11" s="9">
        <f>SUBTOTAL(103,Décembre67[24])</f>
        <v>0</v>
      </c>
      <c r="AA11" s="9">
        <f>SUBTOTAL(103,Décembre67[25])</f>
        <v>0</v>
      </c>
      <c r="AB11" s="9">
        <f>SUBTOTAL(103,Décembre67[26])</f>
        <v>0</v>
      </c>
      <c r="AC11" s="9">
        <f>SUBTOTAL(103,Décembre67[27])</f>
        <v>0</v>
      </c>
      <c r="AD11" s="9">
        <f>SUBTOTAL(103,Décembre67[28])</f>
        <v>0</v>
      </c>
      <c r="AE11" s="9">
        <f>SUBTOTAL(103,Décembre67[29])</f>
        <v>0</v>
      </c>
      <c r="AF11" s="46">
        <f>SUBTOTAL(109,Décembre67[[Total ]])</f>
        <v>518</v>
      </c>
      <c r="AG11" s="47"/>
      <c r="AH11" s="47"/>
      <c r="AI11" s="47"/>
      <c r="AJ11" s="22"/>
    </row>
    <row r="14" spans="2:36" ht="30" customHeight="1" x14ac:dyDescent="0.2">
      <c r="B14" s="29" t="s">
        <v>72</v>
      </c>
      <c r="C14" s="36">
        <f>SUM(C15:C18)</f>
        <v>120</v>
      </c>
    </row>
    <row r="15" spans="2:36" ht="30" customHeight="1" x14ac:dyDescent="0.2">
      <c r="B15" s="27" t="s">
        <v>95</v>
      </c>
      <c r="C15" s="37">
        <v>60</v>
      </c>
    </row>
    <row r="16" spans="2:36" ht="30" customHeight="1" x14ac:dyDescent="0.2">
      <c r="B16" s="27" t="s">
        <v>48</v>
      </c>
      <c r="C16" s="37">
        <v>60</v>
      </c>
    </row>
    <row r="17" spans="2:4" ht="30" customHeight="1" x14ac:dyDescent="0.2">
      <c r="B17" s="27"/>
      <c r="C17" s="37"/>
    </row>
    <row r="18" spans="2:4" ht="30" customHeight="1" x14ac:dyDescent="0.2">
      <c r="B18" s="27"/>
      <c r="C18" s="37"/>
    </row>
    <row r="20" spans="2:4" ht="30" customHeight="1" x14ac:dyDescent="0.2">
      <c r="B20" s="39" t="s">
        <v>76</v>
      </c>
      <c r="C20" s="48"/>
    </row>
    <row r="21" spans="2:4" ht="30" customHeight="1" x14ac:dyDescent="0.2">
      <c r="B21" s="52">
        <v>140</v>
      </c>
      <c r="C21" s="7" t="s">
        <v>99</v>
      </c>
      <c r="D21" s="50"/>
    </row>
    <row r="22" spans="2:4" ht="30" customHeight="1" x14ac:dyDescent="0.2">
      <c r="B22" s="49">
        <v>140</v>
      </c>
      <c r="C22" s="7" t="s">
        <v>100</v>
      </c>
    </row>
    <row r="23" spans="2:4" ht="30" customHeight="1" x14ac:dyDescent="0.2">
      <c r="B23" s="53">
        <v>-60</v>
      </c>
      <c r="C23" s="7" t="s">
        <v>104</v>
      </c>
    </row>
    <row r="24" spans="2:4" ht="30" customHeight="1" x14ac:dyDescent="0.2">
      <c r="B24" s="51" t="s">
        <v>88</v>
      </c>
    </row>
    <row r="25" spans="2:4" ht="30" customHeight="1" x14ac:dyDescent="0.2">
      <c r="B25" s="38">
        <f>SUM(B21:B23)</f>
        <v>220</v>
      </c>
    </row>
    <row r="27" spans="2:4" ht="30" customHeight="1" x14ac:dyDescent="0.2">
      <c r="B27" s="55" t="s">
        <v>103</v>
      </c>
    </row>
  </sheetData>
  <mergeCells count="6">
    <mergeCell ref="C4:AE4"/>
    <mergeCell ref="D2:E2"/>
    <mergeCell ref="G2:H2"/>
    <mergeCell ref="J2:M2"/>
    <mergeCell ref="N2:Q2"/>
    <mergeCell ref="S2:V2"/>
  </mergeCells>
  <conditionalFormatting sqref="C7:AE10">
    <cfRule type="expression" priority="1" stopIfTrue="1">
      <formula>C7=""</formula>
    </cfRule>
  </conditionalFormatting>
  <conditionalFormatting sqref="C7:AE10">
    <cfRule type="expression" dxfId="1006" priority="2" stopIfTrue="1">
      <formula>C7=CléPersonnalisée2</formula>
    </cfRule>
    <cfRule type="expression" dxfId="1005" priority="3" stopIfTrue="1">
      <formula>C7=CléPersonnalisée1</formula>
    </cfRule>
    <cfRule type="expression" dxfId="1004" priority="4" stopIfTrue="1">
      <formula>C7=CléMaladie</formula>
    </cfRule>
    <cfRule type="expression" dxfId="1003" priority="5" stopIfTrue="1">
      <formula>C7=CléPersonnel</formula>
    </cfRule>
    <cfRule type="expression" dxfId="1002" priority="6" stopIfTrue="1">
      <formula>C7=CléCongé</formula>
    </cfRule>
  </conditionalFormatting>
  <conditionalFormatting sqref="AF7:AF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{59E16077-1DB2-E24C-B9A7-315BF20E033A}</x14:id>
        </ext>
      </extLst>
    </cfRule>
  </conditionalFormatting>
  <dataValidations count="5">
    <dataValidation allowBlank="1" showInputMessage="1" showErrorMessage="1" prompt="Année mise à jour automatiquement en fonction de l’année entrée dans la feuille de calcul Janvier" sqref="AF4" xr:uid="{29ABEE29-316F-2C4B-AAAE-7FB565422720}"/>
    <dataValidation allowBlank="1" showInputMessage="1" showErrorMessage="1" prompt="Suivez les absences du mois de décembre dans cette feuille de calcul" sqref="A1" xr:uid="{ED65D85B-5836-AB48-A451-7A06F48848F5}"/>
    <dataValidation allowBlank="1" showInputMessage="1" showErrorMessage="1" prompt="Entrez une lettre et personnalisez l’étiquette à droite pour ajouter un élément de clé" sqref="R2" xr:uid="{C308535D-BD63-6C4B-A43E-876EEE0E8C1B}"/>
    <dataValidation allowBlank="1" showInputMessage="1" showErrorMessage="1" prompt="Entrez une étiquette pour décrire la clé personnalisée à gauche" sqref="N2 S2" xr:uid="{3F4CEBB5-AA33-B847-AAA0-381817338B60}"/>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1DC28D19-2AD2-7A42-87F9-7772532BE36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9E16077-1DB2-E24C-B9A7-315BF20E033A}">
            <x14:dataBar minLength="0" maxLength="100">
              <x14:cfvo type="autoMin"/>
              <x14:cfvo type="formula">
                <xm:f>DATEDIF(DATE(AnnéeCalendrier,2,1),DATE(AnnéeCalendrier,3,1),"d")</xm:f>
              </x14:cfvo>
              <x14:negativeFillColor rgb="FFFF0000"/>
              <x14:axisColor rgb="FF000000"/>
            </x14:dataBar>
          </x14:cfRule>
          <xm:sqref>AF7:AF10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69719-DA38-3241-9E10-C6EB9E22366A}">
  <sheetPr>
    <tabColor theme="7" tint="0.79998168889431442"/>
  </sheetPr>
  <dimension ref="A1:AL24"/>
  <sheetViews>
    <sheetView showGridLines="0" zoomScaleNormal="100" workbookViewId="0">
      <selection activeCell="G23" sqref="G23"/>
    </sheetView>
  </sheetViews>
  <sheetFormatPr defaultColWidth="9.14453125" defaultRowHeight="30" customHeight="1" x14ac:dyDescent="0.2"/>
  <cols>
    <col min="1" max="1" width="2.6875" style="7" customWidth="1"/>
    <col min="2" max="2" width="31.20703125" style="7" customWidth="1"/>
    <col min="3" max="3" width="5.6484375" style="7" customWidth="1"/>
    <col min="4"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13" t="s">
        <v>33</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13">
        <v>2020</v>
      </c>
    </row>
    <row r="5" spans="2:38" ht="15" customHeight="1" x14ac:dyDescent="0.2">
      <c r="B5" s="13"/>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 t="s">
        <v>56</v>
      </c>
      <c r="AH5" s="1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17" t="s">
        <v>90</v>
      </c>
      <c r="C7" s="2"/>
      <c r="D7" s="2"/>
      <c r="E7" s="2"/>
      <c r="F7" s="2"/>
      <c r="G7" s="2"/>
      <c r="H7" s="18"/>
      <c r="I7" s="18"/>
      <c r="J7" s="18"/>
      <c r="K7" s="18"/>
      <c r="L7" s="18"/>
      <c r="M7" s="18"/>
      <c r="N7" s="18"/>
      <c r="O7" s="18"/>
      <c r="P7" s="18"/>
      <c r="Q7" s="18"/>
      <c r="R7" s="2"/>
      <c r="S7" s="2"/>
      <c r="T7" s="2"/>
      <c r="U7" s="2"/>
      <c r="V7" s="2"/>
      <c r="W7" s="2"/>
      <c r="X7" s="2"/>
      <c r="Y7" s="2"/>
      <c r="Z7" s="2"/>
      <c r="AA7" s="2"/>
      <c r="AB7" s="2"/>
      <c r="AC7" s="2"/>
      <c r="AD7" s="2"/>
      <c r="AE7" s="2"/>
      <c r="AF7" s="2"/>
      <c r="AG7" s="2"/>
      <c r="AH7" s="6">
        <v>340</v>
      </c>
      <c r="AI7" s="20">
        <v>102</v>
      </c>
      <c r="AJ7" s="26">
        <f t="shared" ref="AJ7:AJ10" si="0">(AH7)-(AI7)</f>
        <v>238</v>
      </c>
      <c r="AK7" s="20"/>
      <c r="AL7" s="56" t="s">
        <v>107</v>
      </c>
    </row>
    <row r="8" spans="2:38" ht="30" customHeight="1" x14ac:dyDescent="0.2">
      <c r="B8" s="17" t="s">
        <v>91</v>
      </c>
      <c r="C8" s="1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54"/>
      <c r="AL8" s="21" t="s">
        <v>96</v>
      </c>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v>0</v>
      </c>
      <c r="AI9" s="21"/>
      <c r="AJ9" s="26">
        <f t="shared" si="0"/>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COUNTA(Décembre678[[#This Row],[1]:[31]])</f>
        <v>0</v>
      </c>
      <c r="AI10" s="21"/>
      <c r="AJ10" s="26">
        <f t="shared" si="0"/>
        <v>0</v>
      </c>
      <c r="AK10" s="21"/>
      <c r="AL10" s="20"/>
    </row>
    <row r="11" spans="2:38" ht="30" customHeight="1" x14ac:dyDescent="0.2">
      <c r="B11" s="12"/>
      <c r="C11" s="9">
        <f>SUBTOTAL(103,Décembre678[1])</f>
        <v>0</v>
      </c>
      <c r="D11" s="9">
        <f>SUBTOTAL(103,Décembre678[2])</f>
        <v>0</v>
      </c>
      <c r="E11" s="9">
        <f>SUBTOTAL(103,Décembre678[3])</f>
        <v>0</v>
      </c>
      <c r="F11" s="9">
        <f>SUBTOTAL(103,Décembre678[4])</f>
        <v>0</v>
      </c>
      <c r="G11" s="9">
        <f>SUBTOTAL(103,Décembre678[5])</f>
        <v>0</v>
      </c>
      <c r="H11" s="9">
        <f>SUBTOTAL(103,Décembre678[6])</f>
        <v>0</v>
      </c>
      <c r="I11" s="9">
        <f>SUBTOTAL(103,Décembre678[7])</f>
        <v>0</v>
      </c>
      <c r="J11" s="9">
        <f>SUBTOTAL(103,Décembre678[8])</f>
        <v>0</v>
      </c>
      <c r="K11" s="9">
        <f>SUBTOTAL(103,Décembre678[9])</f>
        <v>0</v>
      </c>
      <c r="L11" s="9">
        <f>SUBTOTAL(103,Décembre678[10])</f>
        <v>0</v>
      </c>
      <c r="M11" s="9">
        <f>SUBTOTAL(103,Décembre678[11])</f>
        <v>0</v>
      </c>
      <c r="N11" s="9">
        <f>SUBTOTAL(103,Décembre678[12])</f>
        <v>0</v>
      </c>
      <c r="O11" s="9">
        <f>SUBTOTAL(103,Décembre678[13])</f>
        <v>0</v>
      </c>
      <c r="P11" s="9">
        <f>SUBTOTAL(103,Décembre678[14])</f>
        <v>0</v>
      </c>
      <c r="Q11" s="9">
        <f>SUBTOTAL(103,Décembre678[15])</f>
        <v>0</v>
      </c>
      <c r="R11" s="9">
        <f>SUBTOTAL(103,Décembre678[16])</f>
        <v>0</v>
      </c>
      <c r="S11" s="9">
        <f>SUBTOTAL(103,Décembre678[17])</f>
        <v>0</v>
      </c>
      <c r="T11" s="9">
        <f>SUBTOTAL(103,Décembre678[18])</f>
        <v>0</v>
      </c>
      <c r="U11" s="9">
        <f>SUBTOTAL(103,Décembre678[19])</f>
        <v>0</v>
      </c>
      <c r="V11" s="9">
        <f>SUBTOTAL(103,Décembre678[20])</f>
        <v>0</v>
      </c>
      <c r="W11" s="9">
        <f>SUBTOTAL(103,Décembre678[21])</f>
        <v>0</v>
      </c>
      <c r="X11" s="9">
        <f>SUBTOTAL(103,Décembre678[22])</f>
        <v>0</v>
      </c>
      <c r="Y11" s="9">
        <f>SUBTOTAL(103,Décembre678[23])</f>
        <v>0</v>
      </c>
      <c r="Z11" s="9">
        <f>SUBTOTAL(103,Décembre678[24])</f>
        <v>0</v>
      </c>
      <c r="AA11" s="9">
        <f>SUBTOTAL(103,Décembre678[25])</f>
        <v>0</v>
      </c>
      <c r="AB11" s="9">
        <f>SUBTOTAL(103,Décembre678[26])</f>
        <v>0</v>
      </c>
      <c r="AC11" s="9">
        <f>SUBTOTAL(103,Décembre678[27])</f>
        <v>0</v>
      </c>
      <c r="AD11" s="9">
        <f>SUBTOTAL(103,Décembre678[28])</f>
        <v>0</v>
      </c>
      <c r="AE11" s="9">
        <f>SUBTOTAL(103,Décembre678[29])</f>
        <v>0</v>
      </c>
      <c r="AF11" s="9">
        <f>SUBTOTAL(103,Décembre678[30])</f>
        <v>0</v>
      </c>
      <c r="AG11" s="9">
        <f>SUBTOTAL(103,Décembre678[31])</f>
        <v>0</v>
      </c>
      <c r="AH11" s="9">
        <f>SUBTOTAL(109,Décembre678[[Total ]])</f>
        <v>340</v>
      </c>
      <c r="AI11" s="22"/>
      <c r="AJ11" s="22"/>
      <c r="AK11" s="22"/>
      <c r="AL11" s="22"/>
    </row>
    <row r="14" spans="2:38" ht="30" customHeight="1" x14ac:dyDescent="0.2">
      <c r="B14" s="29" t="s">
        <v>72</v>
      </c>
      <c r="C14" s="36">
        <f>SUM(C15:C18)</f>
        <v>60</v>
      </c>
      <c r="D14" s="36"/>
    </row>
    <row r="15" spans="2:38" ht="30" customHeight="1" x14ac:dyDescent="0.2">
      <c r="B15" s="27" t="s">
        <v>108</v>
      </c>
      <c r="C15" s="37">
        <v>60</v>
      </c>
      <c r="D15" s="28"/>
    </row>
    <row r="16" spans="2:38" ht="30" customHeight="1" x14ac:dyDescent="0.2">
      <c r="B16" s="27"/>
      <c r="C16" s="37"/>
    </row>
    <row r="17" spans="2:3" ht="30" customHeight="1" x14ac:dyDescent="0.2">
      <c r="B17" s="27"/>
      <c r="C17" s="37"/>
    </row>
    <row r="18" spans="2:3" ht="30" customHeight="1" x14ac:dyDescent="0.2">
      <c r="B18" s="27"/>
      <c r="C18" s="37"/>
    </row>
    <row r="20" spans="2:3" ht="30" customHeight="1" x14ac:dyDescent="0.2">
      <c r="B20" s="39" t="s">
        <v>76</v>
      </c>
      <c r="C20" s="60">
        <f>SUM(C21:C24)</f>
        <v>238</v>
      </c>
    </row>
    <row r="21" spans="2:3" ht="30" customHeight="1" x14ac:dyDescent="0.2">
      <c r="B21" s="57" t="s">
        <v>108</v>
      </c>
      <c r="C21" s="58">
        <v>238</v>
      </c>
    </row>
    <row r="22" spans="2:3" ht="30" customHeight="1" x14ac:dyDescent="0.2">
      <c r="B22" s="59"/>
      <c r="C22" s="58"/>
    </row>
    <row r="23" spans="2:3" ht="30" customHeight="1" x14ac:dyDescent="0.2">
      <c r="B23" s="59"/>
      <c r="C23" s="58"/>
    </row>
    <row r="24" spans="2:3" ht="30" customHeight="1" x14ac:dyDescent="0.2">
      <c r="B24" s="59"/>
      <c r="C24" s="58"/>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928" priority="2" stopIfTrue="1">
      <formula>C7=CléPersonnalisée2</formula>
    </cfRule>
    <cfRule type="expression" dxfId="927" priority="3" stopIfTrue="1">
      <formula>C7=CléPersonnalisée1</formula>
    </cfRule>
    <cfRule type="expression" dxfId="926" priority="4" stopIfTrue="1">
      <formula>C7=CléMaladie</formula>
    </cfRule>
    <cfRule type="expression" dxfId="925" priority="5" stopIfTrue="1">
      <formula>C7=CléPersonnel</formula>
    </cfRule>
    <cfRule type="expression" dxfId="924"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{1613D9A4-EFA1-F348-99B8-D0FA7BB1E055}</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DC74D6EA-98BA-5C4E-B3D3-DADDCF828310}"/>
    <dataValidation allowBlank="1" showInputMessage="1" showErrorMessage="1" prompt="Entrez une étiquette pour décrire la clé personnalisée à gauche" sqref="N2 S2" xr:uid="{F7FA1197-FA80-9947-9907-42B3CAEE797F}"/>
    <dataValidation allowBlank="1" showInputMessage="1" showErrorMessage="1" prompt="Entrez une lettre et personnalisez l’étiquette à droite pour ajouter un élément de clé" sqref="R2" xr:uid="{E230E776-5431-7845-A7BF-13C0A5B95E43}"/>
    <dataValidation allowBlank="1" showInputMessage="1" showErrorMessage="1" prompt="Suivez les absences du mois de décembre dans cette feuille de calcul" sqref="A1" xr:uid="{147FFD6D-A0F0-7D40-8A92-DA3073A4CB7A}"/>
    <dataValidation allowBlank="1" showInputMessage="1" showErrorMessage="1" prompt="Année mise à jour automatiquement en fonction de l’année entrée dans la feuille de calcul Janvier" sqref="AH4" xr:uid="{4668EBAF-06EC-344C-A44C-DD71540FD2F4}"/>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613D9A4-EFA1-F348-99B8-D0FA7BB1E055}">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0BB6-9DE0-744B-9F76-C8E7BE19DC9C}">
  <sheetPr>
    <tabColor theme="7" tint="0.79998168889431442"/>
  </sheetPr>
  <dimension ref="A1:AK11"/>
  <sheetViews>
    <sheetView showGridLines="0" topLeftCell="J1" zoomScaleNormal="100" workbookViewId="0">
      <selection activeCell="AI13" sqref="AI13"/>
    </sheetView>
  </sheetViews>
  <sheetFormatPr defaultColWidth="9.14453125" defaultRowHeight="30" customHeight="1" x14ac:dyDescent="0.2"/>
  <cols>
    <col min="1" max="1" width="2.6875" style="7" customWidth="1"/>
    <col min="2" max="2" width="28.78515625" style="7" customWidth="1"/>
    <col min="3" max="32" width="4.70703125" style="7" customWidth="1"/>
    <col min="33" max="33" width="13.44921875" style="7" customWidth="1"/>
    <col min="34" max="35" width="9.14453125" customWidth="1"/>
    <col min="36" max="36" width="9.01171875" customWidth="1"/>
    <col min="37" max="37" width="20.984375" customWidth="1"/>
  </cols>
  <sheetData>
    <row r="1" spans="2:37" ht="50.1" customHeight="1" x14ac:dyDescent="0.2">
      <c r="B1" s="10" t="s">
        <v>65</v>
      </c>
    </row>
    <row r="2" spans="2:37"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7" ht="15" customHeight="1" x14ac:dyDescent="0.2">
      <c r="B3" s="10"/>
    </row>
    <row r="4" spans="2:37" ht="30" customHeight="1" x14ac:dyDescent="0.2">
      <c r="B4" s="13" t="s">
        <v>34</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13">
        <v>2020</v>
      </c>
    </row>
    <row r="5" spans="2:37" ht="15" customHeight="1" x14ac:dyDescent="0.2">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3"/>
    </row>
    <row r="6" spans="2:37"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x14ac:dyDescent="0.2">
      <c r="B7" s="1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44">
        <v>0</v>
      </c>
      <c r="AH7" s="20"/>
      <c r="AI7" s="26">
        <f t="shared" ref="AI7:AI10" si="0">(AG7)-(AH7)</f>
        <v>0</v>
      </c>
      <c r="AJ7" s="20"/>
      <c r="AK7" s="20"/>
    </row>
    <row r="8" spans="2:37" ht="30" customHeight="1" x14ac:dyDescent="0.2">
      <c r="B8" s="17" t="s">
        <v>105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44">
        <v>0</v>
      </c>
      <c r="AH8" s="21"/>
      <c r="AI8" s="26">
        <f t="shared" si="0"/>
        <v>0</v>
      </c>
      <c r="AJ8" s="21"/>
      <c r="AK8" s="61" t="s">
        <v>110</v>
      </c>
    </row>
    <row r="9" spans="2:37"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44">
        <v>0</v>
      </c>
      <c r="AH9" s="21"/>
      <c r="AI9" s="26">
        <f t="shared" si="0"/>
        <v>0</v>
      </c>
      <c r="AJ9" s="21"/>
      <c r="AK9" s="20"/>
    </row>
    <row r="10" spans="2:37"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44">
        <v>0</v>
      </c>
      <c r="AH10" s="21"/>
      <c r="AI10" s="26">
        <f t="shared" si="0"/>
        <v>0</v>
      </c>
      <c r="AJ10" s="21"/>
      <c r="AK10" s="20"/>
    </row>
    <row r="11" spans="2:37" ht="30" customHeight="1" x14ac:dyDescent="0.2">
      <c r="B11" s="12"/>
      <c r="C11" s="9">
        <f>SUBTOTAL(103,Décembre6789[1])</f>
        <v>0</v>
      </c>
      <c r="D11" s="9">
        <f>SUBTOTAL(103,Décembre6789[2])</f>
        <v>0</v>
      </c>
      <c r="E11" s="9">
        <f>SUBTOTAL(103,Décembre6789[3])</f>
        <v>0</v>
      </c>
      <c r="F11" s="9">
        <f>SUBTOTAL(103,Décembre6789[4])</f>
        <v>0</v>
      </c>
      <c r="G11" s="9">
        <f>SUBTOTAL(103,Décembre6789[5])</f>
        <v>0</v>
      </c>
      <c r="H11" s="9">
        <f>SUBTOTAL(103,Décembre6789[6])</f>
        <v>0</v>
      </c>
      <c r="I11" s="9">
        <f>SUBTOTAL(103,Décembre6789[7])</f>
        <v>0</v>
      </c>
      <c r="J11" s="9">
        <f>SUBTOTAL(103,Décembre6789[8])</f>
        <v>0</v>
      </c>
      <c r="K11" s="9">
        <f>SUBTOTAL(103,Décembre6789[9])</f>
        <v>0</v>
      </c>
      <c r="L11" s="9">
        <f>SUBTOTAL(103,Décembre6789[10])</f>
        <v>0</v>
      </c>
      <c r="M11" s="9">
        <f>SUBTOTAL(103,Décembre6789[11])</f>
        <v>0</v>
      </c>
      <c r="N11" s="9">
        <f>SUBTOTAL(103,Décembre6789[12])</f>
        <v>0</v>
      </c>
      <c r="O11" s="9">
        <f>SUBTOTAL(103,Décembre6789[13])</f>
        <v>0</v>
      </c>
      <c r="P11" s="9">
        <f>SUBTOTAL(103,Décembre6789[14])</f>
        <v>0</v>
      </c>
      <c r="Q11" s="9">
        <f>SUBTOTAL(103,Décembre6789[15])</f>
        <v>0</v>
      </c>
      <c r="R11" s="9">
        <f>SUBTOTAL(103,Décembre6789[16])</f>
        <v>0</v>
      </c>
      <c r="S11" s="9">
        <f>SUBTOTAL(103,Décembre6789[17])</f>
        <v>0</v>
      </c>
      <c r="T11" s="9">
        <f>SUBTOTAL(103,Décembre6789[18])</f>
        <v>0</v>
      </c>
      <c r="U11" s="9">
        <f>SUBTOTAL(103,Décembre6789[19])</f>
        <v>0</v>
      </c>
      <c r="V11" s="9">
        <f>SUBTOTAL(103,Décembre6789[20])</f>
        <v>0</v>
      </c>
      <c r="W11" s="9">
        <f>SUBTOTAL(103,Décembre6789[21])</f>
        <v>0</v>
      </c>
      <c r="X11" s="9">
        <f>SUBTOTAL(103,Décembre6789[22])</f>
        <v>0</v>
      </c>
      <c r="Y11" s="9">
        <f>SUBTOTAL(103,Décembre6789[23])</f>
        <v>0</v>
      </c>
      <c r="Z11" s="9">
        <f>SUBTOTAL(103,Décembre6789[24])</f>
        <v>0</v>
      </c>
      <c r="AA11" s="9">
        <f>SUBTOTAL(103,Décembre6789[25])</f>
        <v>0</v>
      </c>
      <c r="AB11" s="9">
        <f>SUBTOTAL(103,Décembre6789[26])</f>
        <v>0</v>
      </c>
      <c r="AC11" s="9">
        <f>SUBTOTAL(103,Décembre6789[27])</f>
        <v>0</v>
      </c>
      <c r="AD11" s="9">
        <f>SUBTOTAL(103,Décembre6789[28])</f>
        <v>0</v>
      </c>
      <c r="AE11" s="9">
        <f>SUBTOTAL(103,Décembre6789[29])</f>
        <v>0</v>
      </c>
      <c r="AF11" s="9">
        <f>SUBTOTAL(103,Décembre6789[30])</f>
        <v>0</v>
      </c>
      <c r="AG11" s="46">
        <f>SUBTOTAL(109,Décembre6789[[Total ]])</f>
        <v>0</v>
      </c>
      <c r="AH11" s="22"/>
      <c r="AI11" s="22"/>
      <c r="AJ11" s="22"/>
      <c r="AK11" s="22"/>
    </row>
  </sheetData>
  <mergeCells count="6">
    <mergeCell ref="C4:AF4"/>
    <mergeCell ref="D2:E2"/>
    <mergeCell ref="G2:H2"/>
    <mergeCell ref="J2:M2"/>
    <mergeCell ref="N2:Q2"/>
    <mergeCell ref="S2:V2"/>
  </mergeCells>
  <conditionalFormatting sqref="I7:AF7 C10:AF10 F9:AF9 C8:AF8">
    <cfRule type="expression" priority="25" stopIfTrue="1">
      <formula>C7=""</formula>
    </cfRule>
  </conditionalFormatting>
  <conditionalFormatting sqref="I7:AF7 C10:AF10 F9:AF9 C8:AF8">
    <cfRule type="expression" dxfId="846" priority="26" stopIfTrue="1">
      <formula>C7=CléPersonnalisée2</formula>
    </cfRule>
    <cfRule type="expression" dxfId="845" priority="27" stopIfTrue="1">
      <formula>C7=CléPersonnalisée1</formula>
    </cfRule>
    <cfRule type="expression" dxfId="844" priority="28" stopIfTrue="1">
      <formula>C7=CléMaladie</formula>
    </cfRule>
    <cfRule type="expression" dxfId="843" priority="29" stopIfTrue="1">
      <formula>C7=CléPersonnel</formula>
    </cfRule>
    <cfRule type="expression" dxfId="842" priority="30" stopIfTrue="1">
      <formula>C7=CléCongé</formula>
    </cfRule>
  </conditionalFormatting>
  <conditionalFormatting sqref="AG7:AG10">
    <cfRule type="dataBar" priority="31">
      <dataBar>
        <cfvo type="min"/>
        <cfvo type="formula" val="DATEDIF(DATE(AnnéeCalendrier,2,1),DATE(AnnéeCalendrier,3,1),&quot;d&quot;)"/>
        <color theme="2" tint="-0.249977111117893"/>
      </dataBar>
      <extLst>
        <ext xmlns:x14="http://schemas.microsoft.com/office/spreadsheetml/2009/9/main" uri="{B025F937-C7B1-47D3-B67F-A62EFF666E3E}">
          <x14:id>{34CEB7F8-C48B-7B40-8F92-28D8A68B0173}</x14:id>
        </ext>
      </extLst>
    </cfRule>
  </conditionalFormatting>
  <conditionalFormatting sqref="C7:D7">
    <cfRule type="expression" priority="19" stopIfTrue="1">
      <formula>C7=""</formula>
    </cfRule>
  </conditionalFormatting>
  <conditionalFormatting sqref="C7:D7">
    <cfRule type="expression" dxfId="841" priority="20" stopIfTrue="1">
      <formula>C7=CléPersonnalisée2</formula>
    </cfRule>
    <cfRule type="expression" dxfId="840" priority="21" stopIfTrue="1">
      <formula>C7=CléPersonnalisée1</formula>
    </cfRule>
    <cfRule type="expression" dxfId="839" priority="22" stopIfTrue="1">
      <formula>C7=CléMaladie</formula>
    </cfRule>
    <cfRule type="expression" dxfId="838" priority="23" stopIfTrue="1">
      <formula>C7=CléPersonnel</formula>
    </cfRule>
    <cfRule type="expression" dxfId="837" priority="24" stopIfTrue="1">
      <formula>C7=CléCongé</formula>
    </cfRule>
  </conditionalFormatting>
  <conditionalFormatting sqref="C9:E9">
    <cfRule type="expression" priority="7" stopIfTrue="1">
      <formula>C9=""</formula>
    </cfRule>
  </conditionalFormatting>
  <conditionalFormatting sqref="C9:E9">
    <cfRule type="expression" dxfId="836" priority="8" stopIfTrue="1">
      <formula>C9=CléPersonnalisée2</formula>
    </cfRule>
    <cfRule type="expression" dxfId="835" priority="9" stopIfTrue="1">
      <formula>C9=CléPersonnalisée1</formula>
    </cfRule>
    <cfRule type="expression" dxfId="834" priority="10" stopIfTrue="1">
      <formula>C9=CléMaladie</formula>
    </cfRule>
    <cfRule type="expression" dxfId="833" priority="11" stopIfTrue="1">
      <formula>C9=CléPersonnel</formula>
    </cfRule>
    <cfRule type="expression" dxfId="832" priority="12" stopIfTrue="1">
      <formula>C9=CléCongé</formula>
    </cfRule>
  </conditionalFormatting>
  <conditionalFormatting sqref="E7:H7">
    <cfRule type="expression" priority="1" stopIfTrue="1">
      <formula>E7=""</formula>
    </cfRule>
  </conditionalFormatting>
  <conditionalFormatting sqref="E7:H7">
    <cfRule type="expression" dxfId="831" priority="2" stopIfTrue="1">
      <formula>E7=CléPersonnalisée2</formula>
    </cfRule>
    <cfRule type="expression" dxfId="830" priority="3" stopIfTrue="1">
      <formula>E7=CléPersonnalisée1</formula>
    </cfRule>
    <cfRule type="expression" dxfId="829" priority="4" stopIfTrue="1">
      <formula>E7=CléMaladie</formula>
    </cfRule>
    <cfRule type="expression" dxfId="828" priority="5" stopIfTrue="1">
      <formula>E7=CléPersonnel</formula>
    </cfRule>
    <cfRule type="expression" dxfId="827" priority="6" stopIfTrue="1">
      <formula>E7=CléCongé</formula>
    </cfRule>
  </conditionalFormatting>
  <dataValidations count="5">
    <dataValidation allowBlank="1" showInputMessage="1" showErrorMessage="1" prompt="Année mise à jour automatiquement en fonction de l’année entrée dans la feuille de calcul Janvier" sqref="AG4" xr:uid="{FCE29D8C-8892-3545-91B1-3BFB485B82ED}"/>
    <dataValidation allowBlank="1" showInputMessage="1" showErrorMessage="1" prompt="Suivez les absences du mois de décembre dans cette feuille de calcul" sqref="A1" xr:uid="{1587AC4F-1C47-B446-86BA-3C696EAC729F}"/>
    <dataValidation allowBlank="1" showInputMessage="1" showErrorMessage="1" prompt="Entrez une lettre et personnalisez l’étiquette à droite pour ajouter un élément de clé" sqref="R2" xr:uid="{37BB4B04-9848-604E-BC39-648B374AE4AC}"/>
    <dataValidation allowBlank="1" showInputMessage="1" showErrorMessage="1" prompt="Entrez une étiquette pour décrire la clé personnalisée à gauche" sqref="N2 S2" xr:uid="{81ED9265-9E9C-F647-8179-BBDB5B45A2A6}"/>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2B8706CA-7ECB-3E41-840D-24DE181D349E}"/>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4CEB7F8-C48B-7B40-8F92-28D8A68B0173}">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B24-B4E9-6F40-AAA0-F2A44331C02F}">
  <sheetPr>
    <tabColor theme="7" tint="0.79998168889431442"/>
  </sheetPr>
  <dimension ref="A1:AL11"/>
  <sheetViews>
    <sheetView showGridLines="0" topLeftCell="O1" zoomScaleNormal="100" workbookViewId="0">
      <selection activeCell="J11" sqref="J11"/>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13" t="s">
        <v>35</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13">
        <v>2020</v>
      </c>
    </row>
    <row r="5" spans="2:38" ht="15" customHeight="1" x14ac:dyDescent="0.2">
      <c r="B5" s="13"/>
      <c r="C5" s="1" t="s">
        <v>68</v>
      </c>
      <c r="D5" s="1" t="s">
        <v>53</v>
      </c>
      <c r="E5" s="1" t="s">
        <v>54</v>
      </c>
      <c r="F5" s="1" t="s">
        <v>55</v>
      </c>
      <c r="G5" s="1" t="s">
        <v>56</v>
      </c>
      <c r="H5" s="1" t="s">
        <v>57</v>
      </c>
      <c r="I5" s="1" t="s">
        <v>51</v>
      </c>
      <c r="J5" s="1" t="s">
        <v>52</v>
      </c>
      <c r="K5" s="1" t="s">
        <v>53</v>
      </c>
      <c r="L5" s="1" t="s">
        <v>54</v>
      </c>
      <c r="M5" s="1" t="s">
        <v>55</v>
      </c>
      <c r="N5" s="1" t="s">
        <v>56</v>
      </c>
      <c r="O5" s="1" t="s">
        <v>57</v>
      </c>
      <c r="P5" s="1" t="s">
        <v>51</v>
      </c>
      <c r="Q5" s="1" t="s">
        <v>52</v>
      </c>
      <c r="R5" s="1" t="s">
        <v>53</v>
      </c>
      <c r="S5" s="1" t="s">
        <v>54</v>
      </c>
      <c r="T5" s="1" t="s">
        <v>55</v>
      </c>
      <c r="U5" s="1" t="s">
        <v>56</v>
      </c>
      <c r="V5" s="1" t="s">
        <v>57</v>
      </c>
      <c r="W5" s="1" t="s">
        <v>51</v>
      </c>
      <c r="X5" s="1" t="s">
        <v>52</v>
      </c>
      <c r="Y5" s="1" t="s">
        <v>53</v>
      </c>
      <c r="Z5" s="1" t="s">
        <v>54</v>
      </c>
      <c r="AA5" s="1" t="s">
        <v>55</v>
      </c>
      <c r="AB5" s="1" t="s">
        <v>56</v>
      </c>
      <c r="AC5" s="1" t="s">
        <v>57</v>
      </c>
      <c r="AD5" s="1" t="s">
        <v>51</v>
      </c>
      <c r="AE5" s="1" t="s">
        <v>52</v>
      </c>
      <c r="AF5" s="1" t="s">
        <v>53</v>
      </c>
      <c r="AG5" s="1" t="s">
        <v>54</v>
      </c>
      <c r="AH5" s="1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17" t="s">
        <v>84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44">
        <v>460</v>
      </c>
      <c r="AI7" s="45">
        <v>114</v>
      </c>
      <c r="AJ7" s="42">
        <f t="shared" ref="AJ7:AJ10" si="0">(AH7)-(AI7)</f>
        <v>346</v>
      </c>
      <c r="AK7" s="45"/>
      <c r="AL7" s="61" t="s">
        <v>110</v>
      </c>
    </row>
    <row r="8" spans="2:38" ht="30" customHeight="1" x14ac:dyDescent="0.2">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44">
        <v>0</v>
      </c>
      <c r="AI8" s="45"/>
      <c r="AJ8" s="42">
        <f t="shared" si="0"/>
        <v>0</v>
      </c>
      <c r="AK8" s="45"/>
      <c r="AL8" s="20"/>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44">
        <f>COUNTA(Décembre678910[[#This Row],[1]:[31]])</f>
        <v>0</v>
      </c>
      <c r="AI9" s="45"/>
      <c r="AJ9" s="42">
        <f t="shared" si="0"/>
        <v>0</v>
      </c>
      <c r="AK9" s="45"/>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44">
        <f>COUNTA(Décembre678910[[#This Row],[1]:[31]])</f>
        <v>0</v>
      </c>
      <c r="AI10" s="45"/>
      <c r="AJ10" s="42">
        <f t="shared" si="0"/>
        <v>0</v>
      </c>
      <c r="AK10" s="45"/>
      <c r="AL10" s="20"/>
    </row>
    <row r="11" spans="2:38" ht="30" customHeight="1" x14ac:dyDescent="0.2">
      <c r="B11" s="12"/>
      <c r="C11" s="9">
        <f>SUBTOTAL(103,Décembre678910[1])</f>
        <v>0</v>
      </c>
      <c r="D11" s="9">
        <f>SUBTOTAL(103,Décembre678910[2])</f>
        <v>0</v>
      </c>
      <c r="E11" s="9">
        <f>SUBTOTAL(103,Décembre678910[3])</f>
        <v>0</v>
      </c>
      <c r="F11" s="9">
        <f>SUBTOTAL(103,Décembre678910[4])</f>
        <v>0</v>
      </c>
      <c r="G11" s="9">
        <f>SUBTOTAL(103,Décembre678910[5])</f>
        <v>0</v>
      </c>
      <c r="H11" s="9">
        <f>SUBTOTAL(103,Décembre678910[6])</f>
        <v>0</v>
      </c>
      <c r="I11" s="9">
        <f>SUBTOTAL(103,Décembre678910[7])</f>
        <v>0</v>
      </c>
      <c r="J11" s="9">
        <f>SUBTOTAL(103,Décembre678910[8])</f>
        <v>0</v>
      </c>
      <c r="K11" s="9">
        <f>SUBTOTAL(103,Décembre678910[9])</f>
        <v>0</v>
      </c>
      <c r="L11" s="9">
        <f>SUBTOTAL(103,Décembre678910[10])</f>
        <v>0</v>
      </c>
      <c r="M11" s="9">
        <f>SUBTOTAL(103,Décembre678910[11])</f>
        <v>0</v>
      </c>
      <c r="N11" s="9">
        <f>SUBTOTAL(103,Décembre678910[12])</f>
        <v>0</v>
      </c>
      <c r="O11" s="9">
        <f>SUBTOTAL(103,Décembre678910[13])</f>
        <v>0</v>
      </c>
      <c r="P11" s="9">
        <f>SUBTOTAL(103,Décembre678910[14])</f>
        <v>0</v>
      </c>
      <c r="Q11" s="9">
        <f>SUBTOTAL(103,Décembre678910[15])</f>
        <v>0</v>
      </c>
      <c r="R11" s="9">
        <f>SUBTOTAL(103,Décembre678910[16])</f>
        <v>0</v>
      </c>
      <c r="S11" s="9">
        <f>SUBTOTAL(103,Décembre678910[17])</f>
        <v>0</v>
      </c>
      <c r="T11" s="9">
        <f>SUBTOTAL(103,Décembre678910[18])</f>
        <v>0</v>
      </c>
      <c r="U11" s="9">
        <f>SUBTOTAL(103,Décembre678910[19])</f>
        <v>0</v>
      </c>
      <c r="V11" s="9">
        <f>SUBTOTAL(103,Décembre678910[20])</f>
        <v>0</v>
      </c>
      <c r="W11" s="9">
        <f>SUBTOTAL(103,Décembre678910[21])</f>
        <v>0</v>
      </c>
      <c r="X11" s="9">
        <f>SUBTOTAL(103,Décembre678910[22])</f>
        <v>0</v>
      </c>
      <c r="Y11" s="9">
        <f>SUBTOTAL(103,Décembre678910[23])</f>
        <v>0</v>
      </c>
      <c r="Z11" s="9">
        <f>SUBTOTAL(103,Décembre678910[24])</f>
        <v>0</v>
      </c>
      <c r="AA11" s="9">
        <f>SUBTOTAL(103,Décembre678910[25])</f>
        <v>0</v>
      </c>
      <c r="AB11" s="9">
        <f>SUBTOTAL(103,Décembre678910[26])</f>
        <v>0</v>
      </c>
      <c r="AC11" s="9">
        <f>SUBTOTAL(103,Décembre678910[27])</f>
        <v>0</v>
      </c>
      <c r="AD11" s="9">
        <f>SUBTOTAL(103,Décembre678910[28])</f>
        <v>0</v>
      </c>
      <c r="AE11" s="9">
        <f>SUBTOTAL(103,Décembre678910[29])</f>
        <v>0</v>
      </c>
      <c r="AF11" s="9">
        <f>SUBTOTAL(103,Décembre678910[30])</f>
        <v>0</v>
      </c>
      <c r="AG11" s="9">
        <f>SUBTOTAL(103,Décembre678910[31])</f>
        <v>0</v>
      </c>
      <c r="AH11" s="46">
        <f>SUBTOTAL(109,Décembre678910[[Total ]])</f>
        <v>460</v>
      </c>
      <c r="AI11" s="47"/>
      <c r="AJ11" s="47"/>
      <c r="AK11" s="47"/>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751" priority="2" stopIfTrue="1">
      <formula>C7=CléPersonnalisée2</formula>
    </cfRule>
    <cfRule type="expression" dxfId="750" priority="3" stopIfTrue="1">
      <formula>C7=CléPersonnalisée1</formula>
    </cfRule>
    <cfRule type="expression" dxfId="749" priority="4" stopIfTrue="1">
      <formula>C7=CléMaladie</formula>
    </cfRule>
    <cfRule type="expression" dxfId="748" priority="5" stopIfTrue="1">
      <formula>C7=CléPersonnel</formula>
    </cfRule>
    <cfRule type="expression" dxfId="747"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{4A158521-4FC5-514C-A176-2CA189B11B2D}</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E3E7B179-1236-8E4F-9228-07ADE05923E7}"/>
    <dataValidation allowBlank="1" showInputMessage="1" showErrorMessage="1" prompt="Entrez une étiquette pour décrire la clé personnalisée à gauche" sqref="N2 S2" xr:uid="{7F5E994B-DE46-A141-9BE5-7AF2AA1C3744}"/>
    <dataValidation allowBlank="1" showInputMessage="1" showErrorMessage="1" prompt="Entrez une lettre et personnalisez l’étiquette à droite pour ajouter un élément de clé" sqref="R2" xr:uid="{CC7560F6-7435-8D40-B373-E5A51E79D384}"/>
    <dataValidation allowBlank="1" showInputMessage="1" showErrorMessage="1" prompt="Suivez les absences du mois de décembre dans cette feuille de calcul" sqref="A1" xr:uid="{02F79965-FE8B-2143-8300-5AB216470C0B}"/>
    <dataValidation allowBlank="1" showInputMessage="1" showErrorMessage="1" prompt="Année mise à jour automatiquement en fonction de l’année entrée dans la feuille de calcul Janvier" sqref="AH4" xr:uid="{DACBC249-AEFB-F846-BC35-F2DC05784D0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A158521-4FC5-514C-A176-2CA189B11B2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50FC-78B0-0C4B-823B-F754AB95D915}">
  <sheetPr>
    <tabColor theme="7" tint="0.79998168889431442"/>
  </sheetPr>
  <dimension ref="A1:AK11"/>
  <sheetViews>
    <sheetView showGridLines="0" topLeftCell="B1" zoomScaleNormal="100" workbookViewId="0">
      <selection activeCell="I13" sqref="I13"/>
    </sheetView>
  </sheetViews>
  <sheetFormatPr defaultColWidth="9.14453125" defaultRowHeight="30" customHeight="1" x14ac:dyDescent="0.2"/>
  <cols>
    <col min="1" max="1" width="2.6875" style="7" customWidth="1"/>
    <col min="2" max="2" width="25.69140625" style="7" customWidth="1"/>
    <col min="3" max="32" width="4.70703125" style="7" customWidth="1"/>
    <col min="33" max="33" width="13.44921875" style="7" customWidth="1"/>
    <col min="34" max="35" width="9.14453125" customWidth="1"/>
    <col min="36" max="36" width="9.01171875" customWidth="1"/>
    <col min="37" max="37" width="20.984375" customWidth="1"/>
  </cols>
  <sheetData>
    <row r="1" spans="2:37" ht="50.1" customHeight="1" x14ac:dyDescent="0.2">
      <c r="B1" s="10" t="s">
        <v>65</v>
      </c>
    </row>
    <row r="2" spans="2:37"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7" ht="15" customHeight="1" x14ac:dyDescent="0.2">
      <c r="B3" s="10"/>
    </row>
    <row r="4" spans="2:37" ht="30" customHeight="1" x14ac:dyDescent="0.2">
      <c r="B4" s="13" t="s">
        <v>36</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13">
        <v>2020</v>
      </c>
    </row>
    <row r="5" spans="2:37" ht="15" customHeight="1" x14ac:dyDescent="0.2">
      <c r="B5" s="13"/>
      <c r="C5" s="1" t="s">
        <v>69</v>
      </c>
      <c r="D5" s="1" t="s">
        <v>56</v>
      </c>
      <c r="E5" s="1" t="s">
        <v>57</v>
      </c>
      <c r="F5" s="1" t="s">
        <v>51</v>
      </c>
      <c r="G5" s="1" t="s">
        <v>52</v>
      </c>
      <c r="H5" s="1" t="s">
        <v>53</v>
      </c>
      <c r="I5" s="1" t="s">
        <v>54</v>
      </c>
      <c r="J5" s="1" t="s">
        <v>55</v>
      </c>
      <c r="K5" s="1" t="s">
        <v>56</v>
      </c>
      <c r="L5" s="1" t="s">
        <v>57</v>
      </c>
      <c r="M5" s="1" t="s">
        <v>51</v>
      </c>
      <c r="N5" s="1" t="s">
        <v>52</v>
      </c>
      <c r="O5" s="1" t="s">
        <v>53</v>
      </c>
      <c r="P5" s="1" t="s">
        <v>54</v>
      </c>
      <c r="Q5" s="1" t="s">
        <v>55</v>
      </c>
      <c r="R5" s="1" t="s">
        <v>56</v>
      </c>
      <c r="S5" s="1" t="s">
        <v>57</v>
      </c>
      <c r="T5" s="1" t="s">
        <v>51</v>
      </c>
      <c r="U5" s="1" t="s">
        <v>52</v>
      </c>
      <c r="V5" s="1" t="s">
        <v>53</v>
      </c>
      <c r="W5" s="1" t="s">
        <v>54</v>
      </c>
      <c r="X5" s="1" t="s">
        <v>55</v>
      </c>
      <c r="Y5" s="1" t="s">
        <v>56</v>
      </c>
      <c r="Z5" s="1" t="s">
        <v>57</v>
      </c>
      <c r="AA5" s="1" t="s">
        <v>51</v>
      </c>
      <c r="AB5" s="1" t="s">
        <v>52</v>
      </c>
      <c r="AC5" s="1" t="s">
        <v>53</v>
      </c>
      <c r="AD5" s="1" t="s">
        <v>54</v>
      </c>
      <c r="AE5" s="1" t="s">
        <v>55</v>
      </c>
      <c r="AF5" s="1" t="s">
        <v>56</v>
      </c>
      <c r="AG5" s="13"/>
    </row>
    <row r="6" spans="2:37"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x14ac:dyDescent="0.2">
      <c r="B7" s="17" t="s">
        <v>109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6">
        <v>0</v>
      </c>
      <c r="AH7" s="20"/>
      <c r="AI7" s="26">
        <f t="shared" ref="AI7:AI10" si="0">(AG7)-(AH7)</f>
        <v>0</v>
      </c>
      <c r="AJ7" s="20"/>
      <c r="AK7" s="20" t="s">
        <v>87</v>
      </c>
    </row>
    <row r="8" spans="2:37" ht="30" customHeight="1" x14ac:dyDescent="0.2">
      <c r="B8" s="62" t="s">
        <v>111</v>
      </c>
      <c r="C8" s="2"/>
      <c r="D8" s="2"/>
      <c r="E8" s="2"/>
      <c r="F8" s="2"/>
      <c r="G8" s="2"/>
      <c r="H8" s="2"/>
      <c r="I8" s="2"/>
      <c r="J8" s="3"/>
      <c r="K8" s="3"/>
      <c r="L8" s="3"/>
      <c r="M8" s="3"/>
      <c r="N8" s="3"/>
      <c r="O8" s="3"/>
      <c r="P8" s="3"/>
      <c r="Q8" s="2"/>
      <c r="R8" s="2"/>
      <c r="S8" s="2"/>
      <c r="T8" s="2"/>
      <c r="U8" s="2"/>
      <c r="V8" s="2"/>
      <c r="W8" s="2"/>
      <c r="X8" s="2"/>
      <c r="Y8" s="2"/>
      <c r="Z8" s="2"/>
      <c r="AA8" s="2"/>
      <c r="AB8" s="2"/>
      <c r="AC8" s="2"/>
      <c r="AD8" s="2"/>
      <c r="AE8" s="2"/>
      <c r="AF8" s="2"/>
      <c r="AG8" s="6">
        <v>260</v>
      </c>
      <c r="AH8" s="21"/>
      <c r="AI8" s="26">
        <f t="shared" si="0"/>
        <v>260</v>
      </c>
      <c r="AJ8" s="21"/>
      <c r="AK8" s="20" t="s">
        <v>113</v>
      </c>
    </row>
    <row r="9" spans="2:37"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0"/>
        <v>0</v>
      </c>
      <c r="AJ9" s="21"/>
      <c r="AK9" s="20"/>
    </row>
    <row r="10" spans="2:37"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0"/>
        <v>0</v>
      </c>
      <c r="AJ10" s="21"/>
      <c r="AK10" s="20"/>
    </row>
    <row r="11" spans="2:37" ht="30" customHeight="1" x14ac:dyDescent="0.2">
      <c r="B11" s="12"/>
      <c r="C11" s="9">
        <f>SUBTOTAL(103,Décembre67891011[1])</f>
        <v>0</v>
      </c>
      <c r="D11" s="9">
        <f>SUBTOTAL(103,Décembre67891011[2])</f>
        <v>0</v>
      </c>
      <c r="E11" s="9">
        <f>SUBTOTAL(103,Décembre67891011[3])</f>
        <v>0</v>
      </c>
      <c r="F11" s="9">
        <f>SUBTOTAL(103,Décembre67891011[4])</f>
        <v>0</v>
      </c>
      <c r="G11" s="9">
        <f>SUBTOTAL(103,Décembre67891011[5])</f>
        <v>0</v>
      </c>
      <c r="H11" s="9">
        <f>SUBTOTAL(103,Décembre67891011[6])</f>
        <v>0</v>
      </c>
      <c r="I11" s="9">
        <f>SUBTOTAL(103,Décembre67891011[7])</f>
        <v>0</v>
      </c>
      <c r="J11" s="9">
        <f>SUBTOTAL(103,Décembre67891011[8])</f>
        <v>0</v>
      </c>
      <c r="K11" s="9">
        <f>SUBTOTAL(103,Décembre67891011[9])</f>
        <v>0</v>
      </c>
      <c r="L11" s="9">
        <f>SUBTOTAL(103,Décembre67891011[10])</f>
        <v>0</v>
      </c>
      <c r="M11" s="9">
        <f>SUBTOTAL(103,Décembre67891011[11])</f>
        <v>0</v>
      </c>
      <c r="N11" s="9">
        <f>SUBTOTAL(103,Décembre67891011[12])</f>
        <v>0</v>
      </c>
      <c r="O11" s="9">
        <f>SUBTOTAL(103,Décembre67891011[13])</f>
        <v>0</v>
      </c>
      <c r="P11" s="9">
        <f>SUBTOTAL(103,Décembre67891011[14])</f>
        <v>0</v>
      </c>
      <c r="Q11" s="9">
        <f>SUBTOTAL(103,Décembre67891011[15])</f>
        <v>0</v>
      </c>
      <c r="R11" s="9">
        <f>SUBTOTAL(103,Décembre67891011[16])</f>
        <v>0</v>
      </c>
      <c r="S11" s="9">
        <f>SUBTOTAL(103,Décembre67891011[17])</f>
        <v>0</v>
      </c>
      <c r="T11" s="9">
        <f>SUBTOTAL(103,Décembre67891011[18])</f>
        <v>0</v>
      </c>
      <c r="U11" s="9">
        <f>SUBTOTAL(103,Décembre67891011[19])</f>
        <v>0</v>
      </c>
      <c r="V11" s="9">
        <f>SUBTOTAL(103,Décembre67891011[20])</f>
        <v>0</v>
      </c>
      <c r="W11" s="9">
        <f>SUBTOTAL(103,Décembre67891011[21])</f>
        <v>0</v>
      </c>
      <c r="X11" s="9">
        <f>SUBTOTAL(103,Décembre67891011[22])</f>
        <v>0</v>
      </c>
      <c r="Y11" s="9">
        <f>SUBTOTAL(103,Décembre67891011[23])</f>
        <v>0</v>
      </c>
      <c r="Z11" s="9">
        <f>SUBTOTAL(103,Décembre67891011[24])</f>
        <v>0</v>
      </c>
      <c r="AA11" s="9">
        <f>SUBTOTAL(103,Décembre67891011[25])</f>
        <v>0</v>
      </c>
      <c r="AB11" s="9">
        <f>SUBTOTAL(103,Décembre67891011[26])</f>
        <v>0</v>
      </c>
      <c r="AC11" s="9">
        <f>SUBTOTAL(103,Décembre67891011[27])</f>
        <v>0</v>
      </c>
      <c r="AD11" s="9">
        <f>SUBTOTAL(103,Décembre67891011[28])</f>
        <v>0</v>
      </c>
      <c r="AE11" s="9">
        <f>SUBTOTAL(103,Décembre67891011[29])</f>
        <v>0</v>
      </c>
      <c r="AF11" s="9">
        <f>SUBTOTAL(103,Décembre67891011[30])</f>
        <v>0</v>
      </c>
      <c r="AG11" s="9">
        <f>SUBTOTAL(109,Décembre67891011[[Total ]])</f>
        <v>260</v>
      </c>
      <c r="AH11" s="22"/>
      <c r="AI11" s="22"/>
      <c r="AJ11" s="22"/>
      <c r="AK11" s="22"/>
    </row>
  </sheetData>
  <mergeCells count="6">
    <mergeCell ref="C4:AF4"/>
    <mergeCell ref="D2:E2"/>
    <mergeCell ref="G2:H2"/>
    <mergeCell ref="J2:M2"/>
    <mergeCell ref="N2:Q2"/>
    <mergeCell ref="S2:V2"/>
  </mergeCells>
  <conditionalFormatting sqref="C7:AF7 C9:AF10 Q8:AF8">
    <cfRule type="expression" priority="7" stopIfTrue="1">
      <formula>C7=""</formula>
    </cfRule>
  </conditionalFormatting>
  <conditionalFormatting sqref="C7:AF7 C9:AF10 Q8:AF8">
    <cfRule type="expression" dxfId="669" priority="8" stopIfTrue="1">
      <formula>C7=CléPersonnalisée2</formula>
    </cfRule>
    <cfRule type="expression" dxfId="668" priority="9" stopIfTrue="1">
      <formula>C7=CléPersonnalisée1</formula>
    </cfRule>
    <cfRule type="expression" dxfId="667" priority="10" stopIfTrue="1">
      <formula>C7=CléMaladie</formula>
    </cfRule>
    <cfRule type="expression" dxfId="666" priority="11" stopIfTrue="1">
      <formula>C7=CléPersonnel</formula>
    </cfRule>
    <cfRule type="expression" dxfId="665" priority="12" stopIfTrue="1">
      <formula>C7=CléCongé</formula>
    </cfRule>
  </conditionalFormatting>
  <conditionalFormatting sqref="AG7:AG10">
    <cfRule type="dataBar" priority="13">
      <dataBar>
        <cfvo type="min"/>
        <cfvo type="formula" val="DATEDIF(DATE(AnnéeCalendrier,2,1),DATE(AnnéeCalendrier,3,1),&quot;d&quot;)"/>
        <color theme="2" tint="-0.249977111117893"/>
      </dataBar>
      <extLst>
        <ext xmlns:x14="http://schemas.microsoft.com/office/spreadsheetml/2009/9/main" uri="{B025F937-C7B1-47D3-B67F-A62EFF666E3E}">
          <x14:id>{47D03D9B-132E-CE46-BE79-3A510C23BEAC}</x14:id>
        </ext>
      </extLst>
    </cfRule>
  </conditionalFormatting>
  <conditionalFormatting sqref="C8:I8">
    <cfRule type="expression" priority="1" stopIfTrue="1">
      <formula>C8=""</formula>
    </cfRule>
  </conditionalFormatting>
  <conditionalFormatting sqref="C8:I8">
    <cfRule type="expression" dxfId="664" priority="2" stopIfTrue="1">
      <formula>C8=CléPersonnalisée2</formula>
    </cfRule>
    <cfRule type="expression" dxfId="663" priority="3" stopIfTrue="1">
      <formula>C8=CléPersonnalisée1</formula>
    </cfRule>
    <cfRule type="expression" dxfId="662" priority="4" stopIfTrue="1">
      <formula>C8=CléMaladie</formula>
    </cfRule>
    <cfRule type="expression" dxfId="661" priority="5" stopIfTrue="1">
      <formula>C8=CléPersonnel</formula>
    </cfRule>
    <cfRule type="expression" dxfId="660" priority="6" stopIfTrue="1">
      <formula>C8=CléCongé</formula>
    </cfRule>
  </conditionalFormatting>
  <dataValidations count="5">
    <dataValidation allowBlank="1" showInputMessage="1" showErrorMessage="1" prompt="Année mise à jour automatiquement en fonction de l’année entrée dans la feuille de calcul Janvier" sqref="AG4" xr:uid="{AFE1CBE0-0EBA-B54A-8950-DA3855BDF11E}"/>
    <dataValidation allowBlank="1" showInputMessage="1" showErrorMessage="1" prompt="Suivez les absences du mois de décembre dans cette feuille de calcul" sqref="A1" xr:uid="{FFB79835-1D2E-B049-90B8-2FEE4DF9EA8A}"/>
    <dataValidation allowBlank="1" showInputMessage="1" showErrorMessage="1" prompt="Entrez une lettre et personnalisez l’étiquette à droite pour ajouter un élément de clé" sqref="R2" xr:uid="{60D18709-9E55-FB41-A2B4-789C3318B332}"/>
    <dataValidation allowBlank="1" showInputMessage="1" showErrorMessage="1" prompt="Entrez une étiquette pour décrire la clé personnalisée à gauche" sqref="N2 S2" xr:uid="{7ECD4232-0C6A-C345-BD52-A63DD07A6C8C}"/>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9F80F61C-7A28-164A-B35E-EB441E3C189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7D03D9B-132E-CE46-BE79-3A510C23BEAC}">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19BA-4440-D64B-8D7C-ED094D8E0E76}">
  <sheetPr>
    <tabColor theme="7" tint="0.79998168889431442"/>
  </sheetPr>
  <dimension ref="A1:AL11"/>
  <sheetViews>
    <sheetView showGridLines="0" zoomScaleNormal="100" workbookViewId="0">
      <selection activeCell="AL15" sqref="AL15"/>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13" t="s">
        <v>37</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13">
        <v>2020</v>
      </c>
    </row>
    <row r="5" spans="2:38" ht="15" customHeight="1" x14ac:dyDescent="0.2">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 t="s">
        <v>52</v>
      </c>
      <c r="AH5" s="1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64" t="s">
        <v>106</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6">
        <v>260</v>
      </c>
      <c r="AI7" s="67"/>
      <c r="AJ7" s="68">
        <f t="shared" ref="AJ7:AJ10" si="0">(AH7)-(AI7)</f>
        <v>260</v>
      </c>
      <c r="AK7" s="67"/>
      <c r="AL7" s="67" t="s">
        <v>117</v>
      </c>
    </row>
    <row r="8" spans="2:38" ht="30" customHeight="1" x14ac:dyDescent="0.2">
      <c r="B8" s="62" t="s">
        <v>112</v>
      </c>
      <c r="C8" s="2"/>
      <c r="D8" s="2"/>
      <c r="E8" s="2"/>
      <c r="F8" s="2"/>
      <c r="G8" s="2"/>
      <c r="H8" s="2"/>
      <c r="I8" s="2"/>
      <c r="J8" s="2"/>
      <c r="K8" s="2"/>
      <c r="L8" s="2"/>
      <c r="M8" s="18"/>
      <c r="N8" s="18"/>
      <c r="O8" s="18"/>
      <c r="P8" s="18"/>
      <c r="Q8" s="18"/>
      <c r="R8" s="18"/>
      <c r="S8" s="18"/>
      <c r="T8" s="18"/>
      <c r="U8" s="18"/>
      <c r="V8" s="18"/>
      <c r="W8" s="2"/>
      <c r="X8" s="2"/>
      <c r="Y8" s="2"/>
      <c r="Z8" s="2"/>
      <c r="AA8" s="2"/>
      <c r="AB8" s="2"/>
      <c r="AC8" s="2"/>
      <c r="AD8" s="2"/>
      <c r="AE8" s="2"/>
      <c r="AF8" s="2"/>
      <c r="AG8" s="2"/>
      <c r="AH8" s="6">
        <v>280</v>
      </c>
      <c r="AI8" s="21">
        <v>84</v>
      </c>
      <c r="AJ8" s="26">
        <v>286</v>
      </c>
      <c r="AK8" s="21"/>
      <c r="AL8" s="20" t="s">
        <v>114</v>
      </c>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COUNTA(Décembre6789101112[[#This Row],[1]:[31]])</f>
        <v>0</v>
      </c>
      <c r="AI9" s="21"/>
      <c r="AJ9" s="26">
        <f t="shared" si="0"/>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COUNTA(Décembre6789101112[[#This Row],[1]:[31]])</f>
        <v>0</v>
      </c>
      <c r="AI10" s="21"/>
      <c r="AJ10" s="26">
        <f t="shared" si="0"/>
        <v>0</v>
      </c>
      <c r="AK10" s="21"/>
      <c r="AL10" s="20"/>
    </row>
    <row r="11" spans="2:38" ht="30" customHeight="1" x14ac:dyDescent="0.2">
      <c r="B11" s="12"/>
      <c r="C11" s="9">
        <f>SUBTOTAL(103,Décembre6789101112[1])</f>
        <v>0</v>
      </c>
      <c r="D11" s="9">
        <f>SUBTOTAL(103,Décembre6789101112[2])</f>
        <v>0</v>
      </c>
      <c r="E11" s="9">
        <f>SUBTOTAL(103,Décembre6789101112[3])</f>
        <v>0</v>
      </c>
      <c r="F11" s="9">
        <f>SUBTOTAL(103,Décembre6789101112[4])</f>
        <v>0</v>
      </c>
      <c r="G11" s="9">
        <f>SUBTOTAL(103,Décembre6789101112[5])</f>
        <v>0</v>
      </c>
      <c r="H11" s="9">
        <f>SUBTOTAL(103,Décembre6789101112[6])</f>
        <v>0</v>
      </c>
      <c r="I11" s="9">
        <f>SUBTOTAL(103,Décembre6789101112[7])</f>
        <v>0</v>
      </c>
      <c r="J11" s="9">
        <f>SUBTOTAL(103,Décembre6789101112[8])</f>
        <v>0</v>
      </c>
      <c r="K11" s="9">
        <f>SUBTOTAL(103,Décembre6789101112[9])</f>
        <v>0</v>
      </c>
      <c r="L11" s="9">
        <f>SUBTOTAL(103,Décembre6789101112[10])</f>
        <v>0</v>
      </c>
      <c r="M11" s="9">
        <f>SUBTOTAL(103,Décembre6789101112[11])</f>
        <v>0</v>
      </c>
      <c r="N11" s="9">
        <f>SUBTOTAL(103,Décembre6789101112[12])</f>
        <v>0</v>
      </c>
      <c r="O11" s="9">
        <f>SUBTOTAL(103,Décembre6789101112[13])</f>
        <v>0</v>
      </c>
      <c r="P11" s="9">
        <f>SUBTOTAL(103,Décembre6789101112[14])</f>
        <v>0</v>
      </c>
      <c r="Q11" s="9">
        <f>SUBTOTAL(103,Décembre6789101112[15])</f>
        <v>0</v>
      </c>
      <c r="R11" s="9">
        <f>SUBTOTAL(103,Décembre6789101112[16])</f>
        <v>0</v>
      </c>
      <c r="S11" s="9">
        <f>SUBTOTAL(103,Décembre6789101112[17])</f>
        <v>0</v>
      </c>
      <c r="T11" s="9">
        <f>SUBTOTAL(103,Décembre6789101112[18])</f>
        <v>0</v>
      </c>
      <c r="U11" s="9">
        <f>SUBTOTAL(103,Décembre6789101112[19])</f>
        <v>0</v>
      </c>
      <c r="V11" s="9">
        <f>SUBTOTAL(103,Décembre6789101112[20])</f>
        <v>0</v>
      </c>
      <c r="W11" s="9">
        <f>SUBTOTAL(103,Décembre6789101112[21])</f>
        <v>0</v>
      </c>
      <c r="X11" s="9">
        <f>SUBTOTAL(103,Décembre6789101112[22])</f>
        <v>0</v>
      </c>
      <c r="Y11" s="9">
        <f>SUBTOTAL(103,Décembre6789101112[23])</f>
        <v>0</v>
      </c>
      <c r="Z11" s="9">
        <f>SUBTOTAL(103,Décembre6789101112[24])</f>
        <v>0</v>
      </c>
      <c r="AA11" s="9">
        <f>SUBTOTAL(103,Décembre6789101112[25])</f>
        <v>0</v>
      </c>
      <c r="AB11" s="9">
        <f>SUBTOTAL(103,Décembre6789101112[26])</f>
        <v>0</v>
      </c>
      <c r="AC11" s="9">
        <f>SUBTOTAL(103,Décembre6789101112[27])</f>
        <v>0</v>
      </c>
      <c r="AD11" s="9">
        <f>SUBTOTAL(103,Décembre6789101112[28])</f>
        <v>0</v>
      </c>
      <c r="AE11" s="9">
        <f>SUBTOTAL(103,Décembre6789101112[29])</f>
        <v>0</v>
      </c>
      <c r="AF11" s="9">
        <f>SUBTOTAL(103,Décembre6789101112[30])</f>
        <v>0</v>
      </c>
      <c r="AG11" s="9">
        <f>SUBTOTAL(103,Décembre6789101112[31])</f>
        <v>0</v>
      </c>
      <c r="AH11" s="9">
        <f>SUBTOTAL(109,Décembre6789101112[[Total ]])</f>
        <v>540</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584" priority="2" stopIfTrue="1">
      <formula>C7=CléPersonnalisée2</formula>
    </cfRule>
    <cfRule type="expression" dxfId="583" priority="3" stopIfTrue="1">
      <formula>C7=CléPersonnalisée1</formula>
    </cfRule>
    <cfRule type="expression" dxfId="582" priority="4" stopIfTrue="1">
      <formula>C7=CléMaladie</formula>
    </cfRule>
    <cfRule type="expression" dxfId="581" priority="5" stopIfTrue="1">
      <formula>C7=CléPersonnel</formula>
    </cfRule>
    <cfRule type="expression" dxfId="580"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{80A50C12-0BBD-354E-AD7F-96F30E98B1FF}</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86B437C4-2741-3649-8F64-C20B578236ED}"/>
    <dataValidation allowBlank="1" showInputMessage="1" showErrorMessage="1" prompt="Entrez une étiquette pour décrire la clé personnalisée à gauche" sqref="N2 S2" xr:uid="{B3516560-62F2-A543-86F0-A1A3ACF8EBE0}"/>
    <dataValidation allowBlank="1" showInputMessage="1" showErrorMessage="1" prompt="Entrez une lettre et personnalisez l’étiquette à droite pour ajouter un élément de clé" sqref="R2" xr:uid="{37DFAE06-612C-6048-8EB6-7AA04E622C3B}"/>
    <dataValidation allowBlank="1" showInputMessage="1" showErrorMessage="1" prompt="Suivez les absences du mois de décembre dans cette feuille de calcul" sqref="A1" xr:uid="{752AE06C-739E-144F-A838-C668F1047CB7}"/>
    <dataValidation allowBlank="1" showInputMessage="1" showErrorMessage="1" prompt="Année mise à jour automatiquement en fonction de l’année entrée dans la feuille de calcul Janvier" sqref="AH4" xr:uid="{5E8B7FC1-0CF2-9445-8993-49E5CF3C083D}"/>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A50C12-0BBD-354E-AD7F-96F30E98B1FF}">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FBDC-BC3D-7B4D-B4C9-FCC977C682EE}">
  <sheetPr>
    <tabColor theme="7" tint="0.79998168889431442"/>
  </sheetPr>
  <dimension ref="A1:AL11"/>
  <sheetViews>
    <sheetView showGridLines="0" tabSelected="1" topLeftCell="AB1" zoomScale="110" zoomScaleNormal="110" workbookViewId="0">
      <selection activeCell="AJ9" sqref="AJ9"/>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13" t="s">
        <v>38</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13">
        <v>2020</v>
      </c>
    </row>
    <row r="5" spans="2:38" ht="15" customHeight="1" x14ac:dyDescent="0.2">
      <c r="B5" s="13"/>
      <c r="C5" s="1" t="s">
        <v>67</v>
      </c>
      <c r="D5" s="1" t="s">
        <v>54</v>
      </c>
      <c r="E5" s="1" t="s">
        <v>55</v>
      </c>
      <c r="F5" s="1" t="s">
        <v>56</v>
      </c>
      <c r="G5" s="1" t="s">
        <v>57</v>
      </c>
      <c r="H5" s="1" t="s">
        <v>51</v>
      </c>
      <c r="I5" s="1" t="s">
        <v>52</v>
      </c>
      <c r="J5" s="1" t="s">
        <v>53</v>
      </c>
      <c r="K5" s="1" t="s">
        <v>54</v>
      </c>
      <c r="L5" s="1" t="s">
        <v>55</v>
      </c>
      <c r="M5" s="1" t="s">
        <v>56</v>
      </c>
      <c r="N5" s="1" t="s">
        <v>57</v>
      </c>
      <c r="O5" s="1" t="s">
        <v>51</v>
      </c>
      <c r="P5" s="1" t="s">
        <v>52</v>
      </c>
      <c r="Q5" s="1" t="s">
        <v>53</v>
      </c>
      <c r="R5" s="1" t="s">
        <v>54</v>
      </c>
      <c r="S5" s="1" t="s">
        <v>55</v>
      </c>
      <c r="T5" s="1" t="s">
        <v>56</v>
      </c>
      <c r="U5" s="1" t="s">
        <v>57</v>
      </c>
      <c r="V5" s="1" t="s">
        <v>51</v>
      </c>
      <c r="W5" s="1" t="s">
        <v>52</v>
      </c>
      <c r="X5" s="1" t="s">
        <v>53</v>
      </c>
      <c r="Y5" s="1" t="s">
        <v>54</v>
      </c>
      <c r="Z5" s="1" t="s">
        <v>55</v>
      </c>
      <c r="AA5" s="1" t="s">
        <v>56</v>
      </c>
      <c r="AB5" s="1" t="s">
        <v>57</v>
      </c>
      <c r="AC5" s="1" t="s">
        <v>51</v>
      </c>
      <c r="AD5" s="1" t="s">
        <v>52</v>
      </c>
      <c r="AE5" s="1" t="s">
        <v>53</v>
      </c>
      <c r="AF5" s="1" t="s">
        <v>54</v>
      </c>
      <c r="AG5" s="1" t="s">
        <v>55</v>
      </c>
      <c r="AH5" s="1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64" t="s">
        <v>106</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6">
        <v>0</v>
      </c>
      <c r="AI7" s="67"/>
      <c r="AJ7" s="68">
        <f t="shared" ref="AJ7:AJ10" si="0">(AH7)-(AI7)</f>
        <v>0</v>
      </c>
      <c r="AK7" s="67"/>
      <c r="AL7" s="67" t="s">
        <v>117</v>
      </c>
    </row>
    <row r="8" spans="2:38" ht="30" customHeight="1" x14ac:dyDescent="0.2">
      <c r="B8" s="17" t="s">
        <v>118</v>
      </c>
      <c r="C8" s="2"/>
      <c r="D8" s="2"/>
      <c r="E8" s="18"/>
      <c r="F8" s="18"/>
      <c r="G8" s="18"/>
      <c r="H8" s="18"/>
      <c r="I8" s="18"/>
      <c r="J8" s="18"/>
      <c r="K8" s="18"/>
      <c r="L8" s="18"/>
      <c r="M8" s="18"/>
      <c r="N8" s="18"/>
      <c r="O8" s="18"/>
      <c r="P8" s="18"/>
      <c r="Q8" s="2"/>
      <c r="R8" s="2"/>
      <c r="S8" s="2"/>
      <c r="T8" s="2"/>
      <c r="U8" s="2"/>
      <c r="V8" s="2"/>
      <c r="W8" s="2"/>
      <c r="X8" s="2"/>
      <c r="Y8" s="2"/>
      <c r="Z8" s="2"/>
      <c r="AA8" s="2"/>
      <c r="AB8" s="2"/>
      <c r="AC8" s="2"/>
      <c r="AD8" s="2"/>
      <c r="AE8" s="2"/>
      <c r="AF8" s="2"/>
      <c r="AG8" s="2"/>
      <c r="AH8" s="6">
        <v>423.1</v>
      </c>
      <c r="AI8" s="21"/>
      <c r="AJ8" s="26">
        <f t="shared" si="0"/>
        <v>423.1</v>
      </c>
      <c r="AK8" s="21"/>
      <c r="AL8" s="20" t="s">
        <v>119</v>
      </c>
    </row>
    <row r="9" spans="2:38" ht="30" customHeight="1" x14ac:dyDescent="0.2">
      <c r="B9" s="17"/>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c r="AI9" s="21"/>
      <c r="AJ9" s="26">
        <f t="shared" si="0"/>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COUNTA(Décembre678910111214[[#This Row],[1]:[31]])</f>
        <v>0</v>
      </c>
      <c r="AI10" s="21"/>
      <c r="AJ10" s="26">
        <f t="shared" si="0"/>
        <v>0</v>
      </c>
      <c r="AK10" s="21"/>
      <c r="AL10" s="20"/>
    </row>
    <row r="11" spans="2:38" ht="30" customHeight="1" x14ac:dyDescent="0.2">
      <c r="B11" s="12"/>
      <c r="C11" s="9">
        <f>SUBTOTAL(103,Décembre678910111214[1])</f>
        <v>0</v>
      </c>
      <c r="D11" s="9">
        <f>SUBTOTAL(103,Décembre678910111214[2])</f>
        <v>0</v>
      </c>
      <c r="E11" s="9">
        <f>SUBTOTAL(103,Décembre678910111214[3])</f>
        <v>0</v>
      </c>
      <c r="F11" s="9">
        <f>SUBTOTAL(103,Décembre678910111214[4])</f>
        <v>0</v>
      </c>
      <c r="G11" s="9">
        <f>SUBTOTAL(103,Décembre678910111214[5])</f>
        <v>0</v>
      </c>
      <c r="H11" s="9">
        <f>SUBTOTAL(103,Décembre678910111214[6])</f>
        <v>0</v>
      </c>
      <c r="I11" s="9">
        <f>SUBTOTAL(103,Décembre678910111214[7])</f>
        <v>0</v>
      </c>
      <c r="J11" s="9">
        <f>SUBTOTAL(103,Décembre678910111214[8])</f>
        <v>0</v>
      </c>
      <c r="K11" s="9">
        <f>SUBTOTAL(103,Décembre678910111214[9])</f>
        <v>0</v>
      </c>
      <c r="L11" s="9">
        <f>SUBTOTAL(103,Décembre678910111214[10])</f>
        <v>0</v>
      </c>
      <c r="M11" s="9">
        <f>SUBTOTAL(103,Décembre678910111214[11])</f>
        <v>0</v>
      </c>
      <c r="N11" s="9">
        <f>SUBTOTAL(103,Décembre678910111214[12])</f>
        <v>0</v>
      </c>
      <c r="O11" s="9">
        <f>SUBTOTAL(103,Décembre678910111214[13])</f>
        <v>0</v>
      </c>
      <c r="P11" s="9">
        <f>SUBTOTAL(103,Décembre678910111214[14])</f>
        <v>0</v>
      </c>
      <c r="Q11" s="9">
        <f>SUBTOTAL(103,Décembre678910111214[15])</f>
        <v>0</v>
      </c>
      <c r="R11" s="9">
        <f>SUBTOTAL(103,Décembre678910111214[16])</f>
        <v>0</v>
      </c>
      <c r="S11" s="9">
        <f>SUBTOTAL(103,Décembre678910111214[17])</f>
        <v>0</v>
      </c>
      <c r="T11" s="9">
        <f>SUBTOTAL(103,Décembre678910111214[18])</f>
        <v>0</v>
      </c>
      <c r="U11" s="9">
        <f>SUBTOTAL(103,Décembre678910111214[19])</f>
        <v>0</v>
      </c>
      <c r="V11" s="9">
        <f>SUBTOTAL(103,Décembre678910111214[20])</f>
        <v>0</v>
      </c>
      <c r="W11" s="9">
        <f>SUBTOTAL(103,Décembre678910111214[21])</f>
        <v>0</v>
      </c>
      <c r="X11" s="9">
        <f>SUBTOTAL(103,Décembre678910111214[22])</f>
        <v>0</v>
      </c>
      <c r="Y11" s="9">
        <f>SUBTOTAL(103,Décembre678910111214[23])</f>
        <v>0</v>
      </c>
      <c r="Z11" s="9">
        <f>SUBTOTAL(103,Décembre678910111214[24])</f>
        <v>0</v>
      </c>
      <c r="AA11" s="9">
        <f>SUBTOTAL(103,Décembre678910111214[25])</f>
        <v>0</v>
      </c>
      <c r="AB11" s="9">
        <f>SUBTOTAL(103,Décembre678910111214[26])</f>
        <v>0</v>
      </c>
      <c r="AC11" s="9">
        <f>SUBTOTAL(103,Décembre678910111214[27])</f>
        <v>0</v>
      </c>
      <c r="AD11" s="9">
        <f>SUBTOTAL(103,Décembre678910111214[28])</f>
        <v>0</v>
      </c>
      <c r="AE11" s="9">
        <f>SUBTOTAL(103,Décembre678910111214[29])</f>
        <v>0</v>
      </c>
      <c r="AF11" s="9">
        <f>SUBTOTAL(103,Décembre678910111214[30])</f>
        <v>0</v>
      </c>
      <c r="AG11" s="9">
        <f>SUBTOTAL(103,Décembre678910111214[31])</f>
        <v>0</v>
      </c>
      <c r="AH11" s="9">
        <f>SUBTOTAL(109,Décembre678910111214[[Total ]])</f>
        <v>423.1</v>
      </c>
      <c r="AI11" s="22"/>
      <c r="AJ11" s="22"/>
      <c r="AK11" s="22"/>
      <c r="AL11" s="22"/>
    </row>
  </sheetData>
  <mergeCells count="6">
    <mergeCell ref="C4:AG4"/>
    <mergeCell ref="D2:E2"/>
    <mergeCell ref="G2:H2"/>
    <mergeCell ref="J2:M2"/>
    <mergeCell ref="N2:Q2"/>
    <mergeCell ref="S2:V2"/>
  </mergeCells>
  <conditionalFormatting sqref="C7:AG8 C10:AG10 C9:R9 AA9:AG9">
    <cfRule type="expression" priority="7" stopIfTrue="1">
      <formula>C7=""</formula>
    </cfRule>
  </conditionalFormatting>
  <conditionalFormatting sqref="C7:AG8 C10:AG10 C9:R9 AA9:AG9">
    <cfRule type="expression" dxfId="502" priority="8" stopIfTrue="1">
      <formula>C7=CléPersonnalisée2</formula>
    </cfRule>
    <cfRule type="expression" dxfId="501" priority="9" stopIfTrue="1">
      <formula>C7=CléPersonnalisée1</formula>
    </cfRule>
    <cfRule type="expression" dxfId="500" priority="10" stopIfTrue="1">
      <formula>C7=CléMaladie</formula>
    </cfRule>
    <cfRule type="expression" dxfId="499" priority="11" stopIfTrue="1">
      <formula>C7=CléPersonnel</formula>
    </cfRule>
    <cfRule type="expression" dxfId="498" priority="12" stopIfTrue="1">
      <formula>C7=CléCongé</formula>
    </cfRule>
  </conditionalFormatting>
  <conditionalFormatting sqref="AH7:AH10">
    <cfRule type="dataBar" priority="13">
      <dataBar>
        <cfvo type="min"/>
        <cfvo type="formula" val="DATEDIF(DATE(AnnéeCalendrier,2,1),DATE(AnnéeCalendrier,3,1),&quot;d&quot;)"/>
        <color theme="2" tint="-0.249977111117893"/>
      </dataBar>
      <extLst>
        <ext xmlns:x14="http://schemas.microsoft.com/office/spreadsheetml/2009/9/main" uri="{B025F937-C7B1-47D3-B67F-A62EFF666E3E}">
          <x14:id>{C79D9C2E-EA64-3A47-B4D9-E6BED6D998CD}</x14:id>
        </ext>
      </extLst>
    </cfRule>
  </conditionalFormatting>
  <conditionalFormatting sqref="S9:Z9">
    <cfRule type="expression" priority="1" stopIfTrue="1">
      <formula>S9=""</formula>
    </cfRule>
  </conditionalFormatting>
  <conditionalFormatting sqref="S9:Z9">
    <cfRule type="expression" dxfId="497" priority="2" stopIfTrue="1">
      <formula>S9=CléPersonnalisée2</formula>
    </cfRule>
    <cfRule type="expression" dxfId="496" priority="3" stopIfTrue="1">
      <formula>S9=CléPersonnalisée1</formula>
    </cfRule>
    <cfRule type="expression" dxfId="495" priority="4" stopIfTrue="1">
      <formula>S9=CléMaladie</formula>
    </cfRule>
    <cfRule type="expression" dxfId="494" priority="5" stopIfTrue="1">
      <formula>S9=CléPersonnel</formula>
    </cfRule>
    <cfRule type="expression" dxfId="493" priority="6" stopIfTrue="1">
      <formula>S9=CléCongé</formula>
    </cfRule>
  </conditionalFormatting>
  <dataValidations count="5">
    <dataValidation allowBlank="1" showInputMessage="1" showErrorMessage="1" prompt="Année mise à jour automatiquement en fonction de l’année entrée dans la feuille de calcul Janvier" sqref="AH4" xr:uid="{9D331579-0B7C-1B4B-A9BC-44EAC1EEE4FE}"/>
    <dataValidation allowBlank="1" showInputMessage="1" showErrorMessage="1" prompt="Suivez les absences du mois de décembre dans cette feuille de calcul" sqref="A1" xr:uid="{8212D0F7-CC15-4D42-87F0-232216B7978E}"/>
    <dataValidation allowBlank="1" showInputMessage="1" showErrorMessage="1" prompt="Entrez une lettre et personnalisez l’étiquette à droite pour ajouter un élément de clé" sqref="R2" xr:uid="{FA984C27-2B04-8347-9108-3896E429D159}"/>
    <dataValidation allowBlank="1" showInputMessage="1" showErrorMessage="1" prompt="Entrez une étiquette pour décrire la clé personnalisée à gauche" sqref="N2 S2" xr:uid="{5BEDB50F-F66D-8841-B7AB-062512917CB3}"/>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6131A2EA-DE95-3C42-B739-C7C826E56344}"/>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79D9C2E-EA64-3A47-B4D9-E6BED6D998C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8471-9B02-9846-9A84-E719726F5737}">
  <sheetPr>
    <tabColor theme="7" tint="0.79998168889431442"/>
  </sheetPr>
  <dimension ref="A1:AK11"/>
  <sheetViews>
    <sheetView showGridLines="0" zoomScaleNormal="100" workbookViewId="0">
      <selection activeCell="AK15" sqref="AK15"/>
    </sheetView>
  </sheetViews>
  <sheetFormatPr defaultColWidth="9.14453125" defaultRowHeight="30" customHeight="1" x14ac:dyDescent="0.2"/>
  <cols>
    <col min="1" max="1" width="2.6875" style="7" customWidth="1"/>
    <col min="2" max="2" width="25.69140625" style="7" customWidth="1"/>
    <col min="3" max="32" width="4.70703125" style="7" customWidth="1"/>
    <col min="33" max="33" width="13.44921875" style="7" customWidth="1"/>
    <col min="34" max="35" width="9.14453125" customWidth="1"/>
    <col min="36" max="36" width="9.01171875" customWidth="1"/>
    <col min="37" max="37" width="20.984375" customWidth="1"/>
  </cols>
  <sheetData>
    <row r="1" spans="2:37" ht="50.1" customHeight="1" x14ac:dyDescent="0.2">
      <c r="B1" s="10" t="s">
        <v>65</v>
      </c>
    </row>
    <row r="2" spans="2:37"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7" ht="15" customHeight="1" x14ac:dyDescent="0.2">
      <c r="B3" s="10"/>
    </row>
    <row r="4" spans="2:37" ht="30" customHeight="1" x14ac:dyDescent="0.2">
      <c r="B4" s="13" t="s">
        <v>39</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13">
        <v>2020</v>
      </c>
    </row>
    <row r="5" spans="2:37" ht="15" customHeight="1" x14ac:dyDescent="0.2">
      <c r="B5" s="13"/>
      <c r="C5" s="1" t="s">
        <v>70</v>
      </c>
      <c r="D5" s="1" t="s">
        <v>57</v>
      </c>
      <c r="E5" s="1" t="s">
        <v>51</v>
      </c>
      <c r="F5" s="1" t="s">
        <v>52</v>
      </c>
      <c r="G5" s="1" t="s">
        <v>53</v>
      </c>
      <c r="H5" s="1" t="s">
        <v>54</v>
      </c>
      <c r="I5" s="1" t="s">
        <v>55</v>
      </c>
      <c r="J5" s="1" t="s">
        <v>56</v>
      </c>
      <c r="K5" s="1" t="s">
        <v>57</v>
      </c>
      <c r="L5" s="1" t="s">
        <v>51</v>
      </c>
      <c r="M5" s="1" t="s">
        <v>52</v>
      </c>
      <c r="N5" s="1" t="s">
        <v>53</v>
      </c>
      <c r="O5" s="1" t="s">
        <v>54</v>
      </c>
      <c r="P5" s="1" t="s">
        <v>55</v>
      </c>
      <c r="Q5" s="1" t="s">
        <v>56</v>
      </c>
      <c r="R5" s="1" t="s">
        <v>57</v>
      </c>
      <c r="S5" s="1" t="s">
        <v>51</v>
      </c>
      <c r="T5" s="1" t="s">
        <v>52</v>
      </c>
      <c r="U5" s="1" t="s">
        <v>53</v>
      </c>
      <c r="V5" s="1" t="s">
        <v>54</v>
      </c>
      <c r="W5" s="1" t="s">
        <v>55</v>
      </c>
      <c r="X5" s="1" t="s">
        <v>56</v>
      </c>
      <c r="Y5" s="1" t="s">
        <v>57</v>
      </c>
      <c r="Z5" s="1" t="s">
        <v>51</v>
      </c>
      <c r="AA5" s="1" t="s">
        <v>52</v>
      </c>
      <c r="AB5" s="1" t="s">
        <v>53</v>
      </c>
      <c r="AC5" s="1" t="s">
        <v>54</v>
      </c>
      <c r="AD5" s="1" t="s">
        <v>55</v>
      </c>
      <c r="AE5" s="1" t="s">
        <v>56</v>
      </c>
      <c r="AF5" s="1" t="s">
        <v>57</v>
      </c>
      <c r="AG5" s="13"/>
    </row>
    <row r="6" spans="2:37"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x14ac:dyDescent="0.2">
      <c r="B7" s="17" t="s">
        <v>84</v>
      </c>
      <c r="C7" s="2"/>
      <c r="D7" s="2"/>
      <c r="E7" s="2"/>
      <c r="F7" s="2"/>
      <c r="G7" s="2"/>
      <c r="H7" s="2"/>
      <c r="I7" s="2"/>
      <c r="J7" s="2"/>
      <c r="K7" s="18"/>
      <c r="L7" s="18"/>
      <c r="M7" s="18"/>
      <c r="N7" s="18"/>
      <c r="O7" s="18"/>
      <c r="P7" s="18"/>
      <c r="Q7" s="18"/>
      <c r="R7" s="18"/>
      <c r="S7" s="18"/>
      <c r="T7" s="18"/>
      <c r="U7" s="18"/>
      <c r="V7" s="18"/>
      <c r="W7" s="18"/>
      <c r="X7" s="2"/>
      <c r="Y7" s="2"/>
      <c r="Z7" s="2"/>
      <c r="AA7" s="2"/>
      <c r="AB7" s="2"/>
      <c r="AC7" s="2"/>
      <c r="AD7" s="2"/>
      <c r="AE7" s="2"/>
      <c r="AF7" s="2"/>
      <c r="AG7" s="44">
        <v>460</v>
      </c>
      <c r="AH7" s="45">
        <v>114</v>
      </c>
      <c r="AI7" s="42">
        <f t="shared" ref="AI7" si="0">(AG7)-(AH7)</f>
        <v>346</v>
      </c>
      <c r="AJ7" s="20"/>
      <c r="AK7" s="20"/>
    </row>
    <row r="8" spans="2:37" ht="30" customHeight="1" x14ac:dyDescent="0.2">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6">
        <v>0</v>
      </c>
      <c r="AH8" s="21"/>
      <c r="AI8" s="26">
        <f t="shared" ref="AI8:AI10" si="1">(AG8)-(AH8)</f>
        <v>0</v>
      </c>
      <c r="AJ8" s="21"/>
      <c r="AK8" s="20"/>
    </row>
    <row r="9" spans="2:37"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1"/>
        <v>0</v>
      </c>
      <c r="AJ9" s="21"/>
      <c r="AK9" s="20"/>
    </row>
    <row r="10" spans="2:37"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1"/>
        <v>0</v>
      </c>
      <c r="AJ10" s="21"/>
      <c r="AK10" s="20"/>
    </row>
    <row r="11" spans="2:37" ht="30" customHeight="1" x14ac:dyDescent="0.2">
      <c r="B11" s="12"/>
      <c r="C11" s="9">
        <f>SUBTOTAL(103,Décembre67891011121415[1])</f>
        <v>0</v>
      </c>
      <c r="D11" s="9">
        <f>SUBTOTAL(103,Décembre67891011121415[2])</f>
        <v>0</v>
      </c>
      <c r="E11" s="9">
        <f>SUBTOTAL(103,Décembre67891011121415[3])</f>
        <v>0</v>
      </c>
      <c r="F11" s="9">
        <f>SUBTOTAL(103,Décembre67891011121415[4])</f>
        <v>0</v>
      </c>
      <c r="G11" s="9">
        <f>SUBTOTAL(103,Décembre67891011121415[5])</f>
        <v>0</v>
      </c>
      <c r="H11" s="9">
        <f>SUBTOTAL(103,Décembre67891011121415[6])</f>
        <v>0</v>
      </c>
      <c r="I11" s="9">
        <f>SUBTOTAL(103,Décembre67891011121415[7])</f>
        <v>0</v>
      </c>
      <c r="J11" s="9">
        <f>SUBTOTAL(103,Décembre67891011121415[8])</f>
        <v>0</v>
      </c>
      <c r="K11" s="9">
        <f>SUBTOTAL(103,Décembre67891011121415[9])</f>
        <v>0</v>
      </c>
      <c r="L11" s="9">
        <f>SUBTOTAL(103,Décembre67891011121415[10])</f>
        <v>0</v>
      </c>
      <c r="M11" s="9">
        <f>SUBTOTAL(103,Décembre67891011121415[11])</f>
        <v>0</v>
      </c>
      <c r="N11" s="9">
        <f>SUBTOTAL(103,Décembre67891011121415[12])</f>
        <v>0</v>
      </c>
      <c r="O11" s="9">
        <f>SUBTOTAL(103,Décembre67891011121415[13])</f>
        <v>0</v>
      </c>
      <c r="P11" s="9">
        <f>SUBTOTAL(103,Décembre67891011121415[14])</f>
        <v>0</v>
      </c>
      <c r="Q11" s="9">
        <f>SUBTOTAL(103,Décembre67891011121415[15])</f>
        <v>0</v>
      </c>
      <c r="R11" s="9">
        <f>SUBTOTAL(103,Décembre67891011121415[16])</f>
        <v>0</v>
      </c>
      <c r="S11" s="9">
        <f>SUBTOTAL(103,Décembre67891011121415[17])</f>
        <v>0</v>
      </c>
      <c r="T11" s="9">
        <f>SUBTOTAL(103,Décembre67891011121415[18])</f>
        <v>0</v>
      </c>
      <c r="U11" s="9">
        <f>SUBTOTAL(103,Décembre67891011121415[19])</f>
        <v>0</v>
      </c>
      <c r="V11" s="9">
        <f>SUBTOTAL(103,Décembre67891011121415[20])</f>
        <v>0</v>
      </c>
      <c r="W11" s="9">
        <f>SUBTOTAL(103,Décembre67891011121415[21])</f>
        <v>0</v>
      </c>
      <c r="X11" s="9">
        <f>SUBTOTAL(103,Décembre67891011121415[22])</f>
        <v>0</v>
      </c>
      <c r="Y11" s="9">
        <f>SUBTOTAL(103,Décembre67891011121415[23])</f>
        <v>0</v>
      </c>
      <c r="Z11" s="9">
        <f>SUBTOTAL(103,Décembre67891011121415[24])</f>
        <v>0</v>
      </c>
      <c r="AA11" s="9">
        <f>SUBTOTAL(103,Décembre67891011121415[25])</f>
        <v>0</v>
      </c>
      <c r="AB11" s="9">
        <f>SUBTOTAL(103,Décembre67891011121415[26])</f>
        <v>0</v>
      </c>
      <c r="AC11" s="9">
        <f>SUBTOTAL(103,Décembre67891011121415[27])</f>
        <v>0</v>
      </c>
      <c r="AD11" s="9">
        <f>SUBTOTAL(103,Décembre67891011121415[28])</f>
        <v>0</v>
      </c>
      <c r="AE11" s="9">
        <f>SUBTOTAL(103,Décembre67891011121415[29])</f>
        <v>0</v>
      </c>
      <c r="AF11" s="9">
        <f>SUBTOTAL(103,Décembre67891011121415[30])</f>
        <v>0</v>
      </c>
      <c r="AG11" s="9">
        <f>SUBTOTAL(109,Décembre67891011121415[[Total ]])</f>
        <v>460</v>
      </c>
      <c r="AH11" s="22"/>
      <c r="AI11" s="22"/>
      <c r="AJ11" s="22"/>
      <c r="AK11" s="22"/>
    </row>
  </sheetData>
  <mergeCells count="6">
    <mergeCell ref="C4:AF4"/>
    <mergeCell ref="D2:E2"/>
    <mergeCell ref="G2:H2"/>
    <mergeCell ref="J2:M2"/>
    <mergeCell ref="N2:Q2"/>
    <mergeCell ref="S2:V2"/>
  </mergeCells>
  <conditionalFormatting sqref="C8:AF10 C7:J7 X7:AF7">
    <cfRule type="expression" priority="8" stopIfTrue="1">
      <formula>C7=""</formula>
    </cfRule>
  </conditionalFormatting>
  <conditionalFormatting sqref="C8:AF10 C7:J7 X7:AF7">
    <cfRule type="expression" dxfId="415" priority="9" stopIfTrue="1">
      <formula>C7=CléPersonnalisée2</formula>
    </cfRule>
    <cfRule type="expression" dxfId="414" priority="10" stopIfTrue="1">
      <formula>C7=CléPersonnalisée1</formula>
    </cfRule>
    <cfRule type="expression" dxfId="413" priority="11" stopIfTrue="1">
      <formula>C7=CléMaladie</formula>
    </cfRule>
    <cfRule type="expression" dxfId="412" priority="12" stopIfTrue="1">
      <formula>C7=CléPersonnel</formula>
    </cfRule>
    <cfRule type="expression" dxfId="411" priority="13" stopIfTrue="1">
      <formula>C7=CléCongé</formula>
    </cfRule>
  </conditionalFormatting>
  <conditionalFormatting sqref="AG8:AG10">
    <cfRule type="dataBar" priority="14">
      <dataBar>
        <cfvo type="min"/>
        <cfvo type="formula" val="DATEDIF(DATE(AnnéeCalendrier,2,1),DATE(AnnéeCalendrier,3,1),&quot;d&quot;)"/>
        <color theme="2" tint="-0.249977111117893"/>
      </dataBar>
      <extLst>
        <ext xmlns:x14="http://schemas.microsoft.com/office/spreadsheetml/2009/9/main" uri="{B025F937-C7B1-47D3-B67F-A62EFF666E3E}">
          <x14:id>{CA22CFED-DF61-7349-A65E-7A3A83870AB4}</x14:id>
        </ext>
      </extLst>
    </cfRule>
  </conditionalFormatting>
  <conditionalFormatting sqref="K7:W7">
    <cfRule type="expression" priority="2" stopIfTrue="1">
      <formula>K7=""</formula>
    </cfRule>
  </conditionalFormatting>
  <conditionalFormatting sqref="K7:W7">
    <cfRule type="expression" dxfId="410" priority="3" stopIfTrue="1">
      <formula>K7=CléPersonnalisée2</formula>
    </cfRule>
    <cfRule type="expression" dxfId="409" priority="4" stopIfTrue="1">
      <formula>K7=CléPersonnalisée1</formula>
    </cfRule>
    <cfRule type="expression" dxfId="408" priority="5" stopIfTrue="1">
      <formula>K7=CléMaladie</formula>
    </cfRule>
    <cfRule type="expression" dxfId="407" priority="6" stopIfTrue="1">
      <formula>K7=CléPersonnel</formula>
    </cfRule>
    <cfRule type="expression" dxfId="406" priority="7" stopIfTrue="1">
      <formula>K7=CléCongé</formula>
    </cfRule>
  </conditionalFormatting>
  <conditionalFormatting sqref="AG7">
    <cfRule type="dataBar" priority="1">
      <dataBar>
        <cfvo type="min"/>
        <cfvo type="formula" val="DATEDIF(DATE(AnnéeCalendrier,2,1),DATE(AnnéeCalendrier,3,1),&quot;d&quot;)"/>
        <color theme="2" tint="-0.249977111117893"/>
      </dataBar>
      <extLst>
        <ext xmlns:x14="http://schemas.microsoft.com/office/spreadsheetml/2009/9/main" uri="{B025F937-C7B1-47D3-B67F-A62EFF666E3E}">
          <x14:id>{3DFC074D-D0C3-C447-B5EA-3B4FD7B20738}</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365F6AEF-E3FB-0842-84BA-14224303F48E}"/>
    <dataValidation allowBlank="1" showInputMessage="1" showErrorMessage="1" prompt="Entrez une étiquette pour décrire la clé personnalisée à gauche" sqref="N2 S2" xr:uid="{3CE48D56-510A-9B4B-86B8-3A36C85FE35F}"/>
    <dataValidation allowBlank="1" showInputMessage="1" showErrorMessage="1" prompt="Entrez une lettre et personnalisez l’étiquette à droite pour ajouter un élément de clé" sqref="R2" xr:uid="{4BC6AD34-32B3-9C4B-9538-B0DC174E2D69}"/>
    <dataValidation allowBlank="1" showInputMessage="1" showErrorMessage="1" prompt="Suivez les absences du mois de décembre dans cette feuille de calcul" sqref="A1" xr:uid="{DEB2D225-8BE7-4E48-9B81-EEF3690FB25D}"/>
    <dataValidation allowBlank="1" showInputMessage="1" showErrorMessage="1" prompt="Année mise à jour automatiquement en fonction de l’année entrée dans la feuille de calcul Janvier" sqref="AG4" xr:uid="{F32046CD-BED4-0B42-A8A0-0A546686651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22CFED-DF61-7349-A65E-7A3A83870AB4}">
            <x14:dataBar minLength="0" maxLength="100">
              <x14:cfvo type="autoMin"/>
              <x14:cfvo type="formula">
                <xm:f>DATEDIF(DATE(AnnéeCalendrier,2,1),DATE(AnnéeCalendrier,3,1),"d")</xm:f>
              </x14:cfvo>
              <x14:negativeFillColor rgb="FFFF0000"/>
              <x14:axisColor rgb="FF000000"/>
            </x14:dataBar>
          </x14:cfRule>
          <xm:sqref>AG8:AG10</xm:sqref>
        </x14:conditionalFormatting>
        <x14:conditionalFormatting xmlns:xm="http://schemas.microsoft.com/office/excel/2006/main">
          <x14:cfRule type="dataBar" id="{3DFC074D-D0C3-C447-B5EA-3B4FD7B20738}">
            <x14:dataBar minLength="0" maxLength="100">
              <x14:cfvo type="autoMin"/>
              <x14:cfvo type="formula">
                <xm:f>DATEDIF(DATE(AnnéeCalendrier,2,1),DATE(AnnéeCalendrier,3,1),"d")</xm:f>
              </x14:cfvo>
              <x14:negativeFillColor rgb="FFFF0000"/>
              <x14:axisColor rgb="FF000000"/>
            </x14:dataBar>
          </x14:cfRule>
          <xm:sqref>AG7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77A7-7A65-6E40-9214-F8B2EC708BC9}">
  <sheetPr>
    <tabColor theme="7" tint="0.79998168889431442"/>
  </sheetPr>
  <dimension ref="A1:AL11"/>
  <sheetViews>
    <sheetView showGridLines="0" zoomScaleNormal="100" workbookViewId="0">
      <selection activeCell="C2" sqref="C2"/>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13" t="s">
        <v>40</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13">
        <v>2020</v>
      </c>
    </row>
    <row r="5" spans="2:38" ht="15" customHeight="1" x14ac:dyDescent="0.2">
      <c r="B5" s="13"/>
      <c r="C5" s="1" t="s">
        <v>71</v>
      </c>
      <c r="D5" s="1" t="s">
        <v>52</v>
      </c>
      <c r="E5" s="1" t="s">
        <v>53</v>
      </c>
      <c r="F5" s="1" t="s">
        <v>54</v>
      </c>
      <c r="G5" s="1" t="s">
        <v>55</v>
      </c>
      <c r="H5" s="1" t="s">
        <v>56</v>
      </c>
      <c r="I5" s="1" t="s">
        <v>57</v>
      </c>
      <c r="J5" s="1" t="s">
        <v>51</v>
      </c>
      <c r="K5" s="1" t="s">
        <v>52</v>
      </c>
      <c r="L5" s="1" t="s">
        <v>53</v>
      </c>
      <c r="M5" s="1" t="s">
        <v>54</v>
      </c>
      <c r="N5" s="1" t="s">
        <v>55</v>
      </c>
      <c r="O5" s="1" t="s">
        <v>56</v>
      </c>
      <c r="P5" s="1" t="s">
        <v>57</v>
      </c>
      <c r="Q5" s="1" t="s">
        <v>51</v>
      </c>
      <c r="R5" s="1" t="s">
        <v>52</v>
      </c>
      <c r="S5" s="1" t="s">
        <v>53</v>
      </c>
      <c r="T5" s="1" t="s">
        <v>54</v>
      </c>
      <c r="U5" s="1" t="s">
        <v>55</v>
      </c>
      <c r="V5" s="1" t="s">
        <v>56</v>
      </c>
      <c r="W5" s="1" t="s">
        <v>57</v>
      </c>
      <c r="X5" s="1" t="s">
        <v>51</v>
      </c>
      <c r="Y5" s="1" t="s">
        <v>52</v>
      </c>
      <c r="Z5" s="1" t="s">
        <v>53</v>
      </c>
      <c r="AA5" s="1" t="s">
        <v>54</v>
      </c>
      <c r="AB5" s="1" t="s">
        <v>55</v>
      </c>
      <c r="AC5" s="1" t="s">
        <v>56</v>
      </c>
      <c r="AD5" s="1" t="s">
        <v>57</v>
      </c>
      <c r="AE5" s="1" t="s">
        <v>51</v>
      </c>
      <c r="AF5" s="1" t="s">
        <v>52</v>
      </c>
      <c r="AG5" s="1" t="s">
        <v>53</v>
      </c>
      <c r="AH5" s="1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17" t="s">
        <v>49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6">
        <v>0</v>
      </c>
      <c r="AI7" s="20"/>
      <c r="AJ7" s="26">
        <f t="shared" ref="AJ7:AJ10" si="0">(AH7)-(AI7)</f>
        <v>0</v>
      </c>
      <c r="AK7" s="20"/>
      <c r="AL7" s="20"/>
    </row>
    <row r="8" spans="2:38" ht="30" customHeight="1" x14ac:dyDescent="0.2">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COUNTA(Décembre6789101112141516[[#This Row],[1]:[31]])</f>
        <v>0</v>
      </c>
      <c r="AI9" s="21"/>
      <c r="AJ9" s="26">
        <f t="shared" si="0"/>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COUNTA(Décembre6789101112141516[[#This Row],[1]:[31]])</f>
        <v>0</v>
      </c>
      <c r="AI10" s="21"/>
      <c r="AJ10" s="26">
        <f t="shared" si="0"/>
        <v>0</v>
      </c>
      <c r="AK10" s="21"/>
      <c r="AL10" s="20"/>
    </row>
    <row r="11" spans="2:38" ht="30" customHeight="1" x14ac:dyDescent="0.2">
      <c r="B11" s="12"/>
      <c r="C11" s="9">
        <f>SUBTOTAL(103,Décembre6789101112141516[1])</f>
        <v>0</v>
      </c>
      <c r="D11" s="9">
        <f>SUBTOTAL(103,Décembre6789101112141516[2])</f>
        <v>0</v>
      </c>
      <c r="E11" s="9">
        <f>SUBTOTAL(103,Décembre6789101112141516[3])</f>
        <v>0</v>
      </c>
      <c r="F11" s="9">
        <f>SUBTOTAL(103,Décembre6789101112141516[4])</f>
        <v>0</v>
      </c>
      <c r="G11" s="9">
        <f>SUBTOTAL(103,Décembre6789101112141516[5])</f>
        <v>0</v>
      </c>
      <c r="H11" s="9">
        <f>SUBTOTAL(103,Décembre6789101112141516[6])</f>
        <v>0</v>
      </c>
      <c r="I11" s="9">
        <f>SUBTOTAL(103,Décembre6789101112141516[7])</f>
        <v>0</v>
      </c>
      <c r="J11" s="9">
        <f>SUBTOTAL(103,Décembre6789101112141516[8])</f>
        <v>0</v>
      </c>
      <c r="K11" s="9">
        <f>SUBTOTAL(103,Décembre6789101112141516[9])</f>
        <v>0</v>
      </c>
      <c r="L11" s="9">
        <f>SUBTOTAL(103,Décembre6789101112141516[10])</f>
        <v>0</v>
      </c>
      <c r="M11" s="9">
        <f>SUBTOTAL(103,Décembre6789101112141516[11])</f>
        <v>0</v>
      </c>
      <c r="N11" s="9">
        <f>SUBTOTAL(103,Décembre6789101112141516[12])</f>
        <v>0</v>
      </c>
      <c r="O11" s="9">
        <f>SUBTOTAL(103,Décembre6789101112141516[13])</f>
        <v>0</v>
      </c>
      <c r="P11" s="9">
        <f>SUBTOTAL(103,Décembre6789101112141516[14])</f>
        <v>0</v>
      </c>
      <c r="Q11" s="9">
        <f>SUBTOTAL(103,Décembre6789101112141516[15])</f>
        <v>0</v>
      </c>
      <c r="R11" s="9">
        <f>SUBTOTAL(103,Décembre6789101112141516[16])</f>
        <v>0</v>
      </c>
      <c r="S11" s="9">
        <f>SUBTOTAL(103,Décembre6789101112141516[17])</f>
        <v>0</v>
      </c>
      <c r="T11" s="9">
        <f>SUBTOTAL(103,Décembre6789101112141516[18])</f>
        <v>0</v>
      </c>
      <c r="U11" s="9">
        <f>SUBTOTAL(103,Décembre6789101112141516[19])</f>
        <v>0</v>
      </c>
      <c r="V11" s="9">
        <f>SUBTOTAL(103,Décembre6789101112141516[20])</f>
        <v>0</v>
      </c>
      <c r="W11" s="9">
        <f>SUBTOTAL(103,Décembre6789101112141516[21])</f>
        <v>0</v>
      </c>
      <c r="X11" s="9">
        <f>SUBTOTAL(103,Décembre6789101112141516[22])</f>
        <v>0</v>
      </c>
      <c r="Y11" s="9">
        <f>SUBTOTAL(103,Décembre6789101112141516[23])</f>
        <v>0</v>
      </c>
      <c r="Z11" s="9">
        <f>SUBTOTAL(103,Décembre6789101112141516[24])</f>
        <v>0</v>
      </c>
      <c r="AA11" s="9">
        <f>SUBTOTAL(103,Décembre6789101112141516[25])</f>
        <v>0</v>
      </c>
      <c r="AB11" s="9">
        <f>SUBTOTAL(103,Décembre6789101112141516[26])</f>
        <v>0</v>
      </c>
      <c r="AC11" s="9">
        <f>SUBTOTAL(103,Décembre6789101112141516[27])</f>
        <v>0</v>
      </c>
      <c r="AD11" s="9">
        <f>SUBTOTAL(103,Décembre6789101112141516[28])</f>
        <v>0</v>
      </c>
      <c r="AE11" s="9">
        <f>SUBTOTAL(103,Décembre6789101112141516[29])</f>
        <v>0</v>
      </c>
      <c r="AF11" s="9">
        <f>SUBTOTAL(103,Décembre6789101112141516[30])</f>
        <v>0</v>
      </c>
      <c r="AG11" s="9">
        <f>SUBTOTAL(103,Décembre6789101112141516[31])</f>
        <v>0</v>
      </c>
      <c r="AH11" s="9">
        <f>SUBTOTAL(109,Décembre6789101112141516[[Total ]])</f>
        <v>0</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330" priority="2" stopIfTrue="1">
      <formula>C7=CléPersonnalisée2</formula>
    </cfRule>
    <cfRule type="expression" dxfId="329" priority="3" stopIfTrue="1">
      <formula>C7=CléPersonnalisée1</formula>
    </cfRule>
    <cfRule type="expression" dxfId="328" priority="4" stopIfTrue="1">
      <formula>C7=CléMaladie</formula>
    </cfRule>
    <cfRule type="expression" dxfId="327" priority="5" stopIfTrue="1">
      <formula>C7=CléPersonnel</formula>
    </cfRule>
    <cfRule type="expression" dxfId="326"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{E4E9763E-8BFC-6A49-9D87-45A6128A0CA8}</x14:id>
        </ext>
      </extLst>
    </cfRule>
  </conditionalFormatting>
  <dataValidations count="5">
    <dataValidation allowBlank="1" showInputMessage="1" showErrorMessage="1" prompt="Année mise à jour automatiquement en fonction de l’année entrée dans la feuille de calcul Janvier" sqref="AH4" xr:uid="{D2E30403-84B3-CE44-9AA2-64D046E23464}"/>
    <dataValidation allowBlank="1" showInputMessage="1" showErrorMessage="1" prompt="Suivez les absences du mois de décembre dans cette feuille de calcul" sqref="A1" xr:uid="{2BC745D3-0E6F-1041-B8C0-4164E965B6F6}"/>
    <dataValidation allowBlank="1" showInputMessage="1" showErrorMessage="1" prompt="Entrez une lettre et personnalisez l’étiquette à droite pour ajouter un élément de clé" sqref="R2" xr:uid="{400ECBC2-3039-0D4E-A4B3-AAF987BC2B83}"/>
    <dataValidation allowBlank="1" showInputMessage="1" showErrorMessage="1" prompt="Entrez une étiquette pour décrire la clé personnalisée à gauche" sqref="N2 S2" xr:uid="{DFB5F473-5DE0-F144-938A-878B18594839}"/>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EAD228D7-B870-2947-90BE-827E52144815}"/>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E9763E-8BFC-6A49-9D87-45A6128A0CA8}">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7C16-D981-5442-9C35-1C73B639874D}">
  <sheetPr>
    <tabColor theme="7" tint="0.79998168889431442"/>
  </sheetPr>
  <dimension ref="A1:AK11"/>
  <sheetViews>
    <sheetView showGridLines="0" topLeftCell="C1" zoomScaleNormal="100" workbookViewId="0">
      <selection activeCell="F2" sqref="F2"/>
    </sheetView>
  </sheetViews>
  <sheetFormatPr defaultColWidth="9.14453125" defaultRowHeight="30" customHeight="1" x14ac:dyDescent="0.2"/>
  <cols>
    <col min="1" max="1" width="2.6875" style="7" customWidth="1"/>
    <col min="2" max="2" width="25.69140625" style="7" customWidth="1"/>
    <col min="3" max="32" width="4.70703125" style="7" customWidth="1"/>
    <col min="33" max="33" width="13.44921875" style="7" customWidth="1"/>
    <col min="34" max="35" width="9.14453125" customWidth="1"/>
    <col min="36" max="36" width="9.01171875" customWidth="1"/>
    <col min="37" max="37" width="20.984375" customWidth="1"/>
  </cols>
  <sheetData>
    <row r="1" spans="2:37" ht="50.1" customHeight="1" x14ac:dyDescent="0.2">
      <c r="B1" s="10" t="s">
        <v>65</v>
      </c>
    </row>
    <row r="2" spans="2:37"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7" ht="15" customHeight="1" x14ac:dyDescent="0.2">
      <c r="B3" s="10"/>
    </row>
    <row r="4" spans="2:37" ht="30" customHeight="1" x14ac:dyDescent="0.2">
      <c r="B4" s="13" t="s">
        <v>41</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13">
        <v>2020</v>
      </c>
    </row>
    <row r="5" spans="2:37" ht="15" customHeight="1" x14ac:dyDescent="0.2">
      <c r="B5" s="13"/>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3"/>
    </row>
    <row r="6" spans="2:37"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x14ac:dyDescent="0.2">
      <c r="B7" s="17" t="s">
        <v>49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6">
        <v>0</v>
      </c>
      <c r="AH7" s="20"/>
      <c r="AI7" s="26">
        <f t="shared" ref="AI7:AI10" si="0">(AG7)-(AH7)</f>
        <v>0</v>
      </c>
      <c r="AJ7" s="20"/>
      <c r="AK7" s="20"/>
    </row>
    <row r="8" spans="2:37" ht="30" customHeight="1" x14ac:dyDescent="0.2">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6">
        <v>0</v>
      </c>
      <c r="AH8" s="21"/>
      <c r="AI8" s="26">
        <f t="shared" si="0"/>
        <v>0</v>
      </c>
      <c r="AJ8" s="21"/>
      <c r="AK8" s="20"/>
    </row>
    <row r="9" spans="2:37"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0"/>
        <v>0</v>
      </c>
      <c r="AJ9" s="21"/>
      <c r="AK9" s="20"/>
    </row>
    <row r="10" spans="2:37"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0"/>
        <v>0</v>
      </c>
      <c r="AJ10" s="21"/>
      <c r="AK10" s="20"/>
    </row>
    <row r="11" spans="2:37" ht="30" customHeight="1" x14ac:dyDescent="0.2">
      <c r="B11" s="12"/>
      <c r="C11" s="9">
        <f>SUBTOTAL(103,Décembre678910111214151617[1])</f>
        <v>0</v>
      </c>
      <c r="D11" s="9">
        <f>SUBTOTAL(103,Décembre678910111214151617[2])</f>
        <v>0</v>
      </c>
      <c r="E11" s="9">
        <f>SUBTOTAL(103,Décembre678910111214151617[3])</f>
        <v>0</v>
      </c>
      <c r="F11" s="9">
        <f>SUBTOTAL(103,Décembre678910111214151617[4])</f>
        <v>0</v>
      </c>
      <c r="G11" s="9">
        <f>SUBTOTAL(103,Décembre678910111214151617[5])</f>
        <v>0</v>
      </c>
      <c r="H11" s="9">
        <f>SUBTOTAL(103,Décembre678910111214151617[6])</f>
        <v>0</v>
      </c>
      <c r="I11" s="9">
        <f>SUBTOTAL(103,Décembre678910111214151617[7])</f>
        <v>0</v>
      </c>
      <c r="J11" s="9">
        <f>SUBTOTAL(103,Décembre678910111214151617[8])</f>
        <v>0</v>
      </c>
      <c r="K11" s="9">
        <f>SUBTOTAL(103,Décembre678910111214151617[9])</f>
        <v>0</v>
      </c>
      <c r="L11" s="9">
        <f>SUBTOTAL(103,Décembre678910111214151617[10])</f>
        <v>0</v>
      </c>
      <c r="M11" s="9">
        <f>SUBTOTAL(103,Décembre678910111214151617[11])</f>
        <v>0</v>
      </c>
      <c r="N11" s="9">
        <f>SUBTOTAL(103,Décembre678910111214151617[12])</f>
        <v>0</v>
      </c>
      <c r="O11" s="9">
        <f>SUBTOTAL(103,Décembre678910111214151617[13])</f>
        <v>0</v>
      </c>
      <c r="P11" s="9">
        <f>SUBTOTAL(103,Décembre678910111214151617[14])</f>
        <v>0</v>
      </c>
      <c r="Q11" s="9">
        <f>SUBTOTAL(103,Décembre678910111214151617[15])</f>
        <v>0</v>
      </c>
      <c r="R11" s="9">
        <f>SUBTOTAL(103,Décembre678910111214151617[16])</f>
        <v>0</v>
      </c>
      <c r="S11" s="9">
        <f>SUBTOTAL(103,Décembre678910111214151617[17])</f>
        <v>0</v>
      </c>
      <c r="T11" s="9">
        <f>SUBTOTAL(103,Décembre678910111214151617[18])</f>
        <v>0</v>
      </c>
      <c r="U11" s="9">
        <f>SUBTOTAL(103,Décembre678910111214151617[19])</f>
        <v>0</v>
      </c>
      <c r="V11" s="9">
        <f>SUBTOTAL(103,Décembre678910111214151617[20])</f>
        <v>0</v>
      </c>
      <c r="W11" s="9">
        <f>SUBTOTAL(103,Décembre678910111214151617[21])</f>
        <v>0</v>
      </c>
      <c r="X11" s="9">
        <f>SUBTOTAL(103,Décembre678910111214151617[22])</f>
        <v>0</v>
      </c>
      <c r="Y11" s="9">
        <f>SUBTOTAL(103,Décembre678910111214151617[23])</f>
        <v>0</v>
      </c>
      <c r="Z11" s="9">
        <f>SUBTOTAL(103,Décembre678910111214151617[24])</f>
        <v>0</v>
      </c>
      <c r="AA11" s="9">
        <f>SUBTOTAL(103,Décembre678910111214151617[25])</f>
        <v>0</v>
      </c>
      <c r="AB11" s="9">
        <f>SUBTOTAL(103,Décembre678910111214151617[26])</f>
        <v>0</v>
      </c>
      <c r="AC11" s="9">
        <f>SUBTOTAL(103,Décembre678910111214151617[27])</f>
        <v>0</v>
      </c>
      <c r="AD11" s="9">
        <f>SUBTOTAL(103,Décembre678910111214151617[28])</f>
        <v>0</v>
      </c>
      <c r="AE11" s="9">
        <f>SUBTOTAL(103,Décembre678910111214151617[29])</f>
        <v>0</v>
      </c>
      <c r="AF11" s="9">
        <f>SUBTOTAL(103,Décembre678910111214151617[30])</f>
        <v>0</v>
      </c>
      <c r="AG11" s="9">
        <f>SUBTOTAL(109,Décembre678910111214151617[[Total ]])</f>
        <v>0</v>
      </c>
      <c r="AH11" s="22"/>
      <c r="AI11" s="22"/>
      <c r="AJ11" s="22"/>
      <c r="AK11" s="22"/>
    </row>
  </sheetData>
  <mergeCells count="6">
    <mergeCell ref="C4:AF4"/>
    <mergeCell ref="D2:E2"/>
    <mergeCell ref="G2:H2"/>
    <mergeCell ref="J2:M2"/>
    <mergeCell ref="N2:Q2"/>
    <mergeCell ref="S2:V2"/>
  </mergeCells>
  <conditionalFormatting sqref="C7:AF10">
    <cfRule type="expression" priority="1" stopIfTrue="1">
      <formula>C7=""</formula>
    </cfRule>
  </conditionalFormatting>
  <conditionalFormatting sqref="C7:AF10">
    <cfRule type="expression" dxfId="248" priority="2" stopIfTrue="1">
      <formula>C7=CléPersonnalisée2</formula>
    </cfRule>
    <cfRule type="expression" dxfId="247" priority="3" stopIfTrue="1">
      <formula>C7=CléPersonnalisée1</formula>
    </cfRule>
    <cfRule type="expression" dxfId="246" priority="4" stopIfTrue="1">
      <formula>C7=CléMaladie</formula>
    </cfRule>
    <cfRule type="expression" dxfId="245" priority="5" stopIfTrue="1">
      <formula>C7=CléPersonnel</formula>
    </cfRule>
    <cfRule type="expression" dxfId="244" priority="6" stopIfTrue="1">
      <formula>C7=CléCongé</formula>
    </cfRule>
  </conditionalFormatting>
  <conditionalFormatting sqref="AG7:AG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{FC40B65C-F2DD-4847-AECA-1F10D889D8F4}</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659292DB-36F6-5040-AC8D-8D84434C123C}"/>
    <dataValidation allowBlank="1" showInputMessage="1" showErrorMessage="1" prompt="Entrez une étiquette pour décrire la clé personnalisée à gauche" sqref="N2 S2" xr:uid="{6CA7E3AD-E2FE-5C45-BBFD-BDE83FE93927}"/>
    <dataValidation allowBlank="1" showInputMessage="1" showErrorMessage="1" prompt="Entrez une lettre et personnalisez l’étiquette à droite pour ajouter un élément de clé" sqref="R2" xr:uid="{80FB46D0-680A-844E-8B5B-2B18489724C6}"/>
    <dataValidation allowBlank="1" showInputMessage="1" showErrorMessage="1" prompt="Suivez les absences du mois de décembre dans cette feuille de calcul" sqref="A1" xr:uid="{63F782A1-F51A-9141-8127-E669931F22DD}"/>
    <dataValidation allowBlank="1" showInputMessage="1" showErrorMessage="1" prompt="Année mise à jour automatiquement en fonction de l’année entrée dans la feuille de calcul Janvier" sqref="AG4" xr:uid="{DA9F74AC-A690-5547-9BC9-FA0C0D9E969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40B65C-F2DD-4847-AECA-1F10D889D8F4}">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10EB-DEB6-6D4E-901B-D1F4976379CE}">
  <sheetPr>
    <tabColor theme="7" tint="0.79998168889431442"/>
  </sheetPr>
  <dimension ref="A1:AL11"/>
  <sheetViews>
    <sheetView showGridLines="0" topLeftCell="M1" zoomScaleNormal="100" workbookViewId="0">
      <selection activeCell="AL9" sqref="AL9"/>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13" t="s">
        <v>42</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13">
        <v>2020</v>
      </c>
    </row>
    <row r="5" spans="2:38" ht="15" customHeight="1" x14ac:dyDescent="0.2">
      <c r="B5" s="13"/>
      <c r="C5" s="1" t="s">
        <v>70</v>
      </c>
      <c r="D5" s="1" t="s">
        <v>57</v>
      </c>
      <c r="E5" s="1" t="s">
        <v>51</v>
      </c>
      <c r="F5" s="1" t="s">
        <v>52</v>
      </c>
      <c r="G5" s="1" t="s">
        <v>53</v>
      </c>
      <c r="H5" s="1" t="s">
        <v>54</v>
      </c>
      <c r="I5" s="1" t="s">
        <v>55</v>
      </c>
      <c r="J5" s="1" t="s">
        <v>56</v>
      </c>
      <c r="K5" s="1" t="s">
        <v>57</v>
      </c>
      <c r="L5" s="1" t="s">
        <v>51</v>
      </c>
      <c r="M5" s="1" t="s">
        <v>52</v>
      </c>
      <c r="N5" s="1" t="s">
        <v>53</v>
      </c>
      <c r="O5" s="1" t="s">
        <v>54</v>
      </c>
      <c r="P5" s="1" t="s">
        <v>55</v>
      </c>
      <c r="Q5" s="1" t="s">
        <v>56</v>
      </c>
      <c r="R5" s="1" t="s">
        <v>57</v>
      </c>
      <c r="S5" s="1" t="s">
        <v>51</v>
      </c>
      <c r="T5" s="1" t="s">
        <v>52</v>
      </c>
      <c r="U5" s="1" t="s">
        <v>53</v>
      </c>
      <c r="V5" s="1" t="s">
        <v>54</v>
      </c>
      <c r="W5" s="1" t="s">
        <v>55</v>
      </c>
      <c r="X5" s="1" t="s">
        <v>56</v>
      </c>
      <c r="Y5" s="1" t="s">
        <v>57</v>
      </c>
      <c r="Z5" s="1" t="s">
        <v>51</v>
      </c>
      <c r="AA5" s="1" t="s">
        <v>52</v>
      </c>
      <c r="AB5" s="1" t="s">
        <v>53</v>
      </c>
      <c r="AC5" s="1" t="s">
        <v>54</v>
      </c>
      <c r="AD5" s="1" t="s">
        <v>55</v>
      </c>
      <c r="AE5" s="1" t="s">
        <v>56</v>
      </c>
      <c r="AF5" s="1" t="s">
        <v>57</v>
      </c>
      <c r="AG5" s="1" t="s">
        <v>51</v>
      </c>
      <c r="AH5" s="1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17" t="s">
        <v>115</v>
      </c>
      <c r="C7" s="2"/>
      <c r="D7" s="2"/>
      <c r="E7" s="2"/>
      <c r="F7" s="2"/>
      <c r="G7" s="2"/>
      <c r="H7" s="2"/>
      <c r="I7" s="2"/>
      <c r="J7" s="2"/>
      <c r="K7" s="2"/>
      <c r="L7" s="2"/>
      <c r="M7" s="2"/>
      <c r="N7" s="2"/>
      <c r="O7" s="2"/>
      <c r="P7" s="2"/>
      <c r="Q7" s="2"/>
      <c r="R7" s="2"/>
      <c r="S7" s="2"/>
      <c r="T7" s="2"/>
      <c r="U7" s="2"/>
      <c r="V7" s="2"/>
      <c r="W7" s="2"/>
      <c r="X7" s="2"/>
      <c r="Y7" s="2"/>
      <c r="Z7" s="2"/>
      <c r="AA7" s="2"/>
      <c r="AB7" s="3"/>
      <c r="AC7" s="3"/>
      <c r="AD7" s="3"/>
      <c r="AE7" s="3"/>
      <c r="AF7" s="3"/>
      <c r="AG7" s="3"/>
      <c r="AH7" s="6">
        <v>480</v>
      </c>
      <c r="AI7" s="20">
        <v>144</v>
      </c>
      <c r="AJ7" s="26">
        <f t="shared" ref="AJ7:AJ10" si="0">(AH7)-(AI7)</f>
        <v>336</v>
      </c>
      <c r="AK7" s="20"/>
      <c r="AL7" s="20" t="s">
        <v>116</v>
      </c>
    </row>
    <row r="8" spans="2:38" ht="30" customHeight="1" x14ac:dyDescent="0.2">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COUNTA(Décembre67891011121415161718[[#This Row],[1]:[31]])</f>
        <v>0</v>
      </c>
      <c r="AI9" s="21"/>
      <c r="AJ9" s="26">
        <f t="shared" si="0"/>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COUNTA(Décembre67891011121415161718[[#This Row],[1]:[31]])</f>
        <v>0</v>
      </c>
      <c r="AI10" s="21"/>
      <c r="AJ10" s="26">
        <f t="shared" si="0"/>
        <v>0</v>
      </c>
      <c r="AK10" s="21"/>
      <c r="AL10" s="20"/>
    </row>
    <row r="11" spans="2:38" ht="30" customHeight="1" x14ac:dyDescent="0.2">
      <c r="B11" s="12"/>
      <c r="C11" s="9">
        <f>SUBTOTAL(103,Décembre67891011121415161718[1])</f>
        <v>0</v>
      </c>
      <c r="D11" s="9">
        <f>SUBTOTAL(103,Décembre67891011121415161718[2])</f>
        <v>0</v>
      </c>
      <c r="E11" s="9">
        <f>SUBTOTAL(103,Décembre67891011121415161718[3])</f>
        <v>0</v>
      </c>
      <c r="F11" s="9">
        <f>SUBTOTAL(103,Décembre67891011121415161718[4])</f>
        <v>0</v>
      </c>
      <c r="G11" s="9">
        <f>SUBTOTAL(103,Décembre67891011121415161718[5])</f>
        <v>0</v>
      </c>
      <c r="H11" s="9">
        <f>SUBTOTAL(103,Décembre67891011121415161718[6])</f>
        <v>0</v>
      </c>
      <c r="I11" s="9">
        <f>SUBTOTAL(103,Décembre67891011121415161718[7])</f>
        <v>0</v>
      </c>
      <c r="J11" s="9">
        <f>SUBTOTAL(103,Décembre67891011121415161718[8])</f>
        <v>0</v>
      </c>
      <c r="K11" s="9">
        <f>SUBTOTAL(103,Décembre67891011121415161718[9])</f>
        <v>0</v>
      </c>
      <c r="L11" s="9">
        <f>SUBTOTAL(103,Décembre67891011121415161718[10])</f>
        <v>0</v>
      </c>
      <c r="M11" s="9">
        <f>SUBTOTAL(103,Décembre67891011121415161718[11])</f>
        <v>0</v>
      </c>
      <c r="N11" s="9">
        <f>SUBTOTAL(103,Décembre67891011121415161718[12])</f>
        <v>0</v>
      </c>
      <c r="O11" s="9">
        <f>SUBTOTAL(103,Décembre67891011121415161718[13])</f>
        <v>0</v>
      </c>
      <c r="P11" s="9">
        <f>SUBTOTAL(103,Décembre67891011121415161718[14])</f>
        <v>0</v>
      </c>
      <c r="Q11" s="9">
        <f>SUBTOTAL(103,Décembre67891011121415161718[15])</f>
        <v>0</v>
      </c>
      <c r="R11" s="9">
        <f>SUBTOTAL(103,Décembre67891011121415161718[16])</f>
        <v>0</v>
      </c>
      <c r="S11" s="9">
        <f>SUBTOTAL(103,Décembre67891011121415161718[17])</f>
        <v>0</v>
      </c>
      <c r="T11" s="9">
        <f>SUBTOTAL(103,Décembre67891011121415161718[18])</f>
        <v>0</v>
      </c>
      <c r="U11" s="9">
        <f>SUBTOTAL(103,Décembre67891011121415161718[19])</f>
        <v>0</v>
      </c>
      <c r="V11" s="9">
        <f>SUBTOTAL(103,Décembre67891011121415161718[20])</f>
        <v>0</v>
      </c>
      <c r="W11" s="9">
        <f>SUBTOTAL(103,Décembre67891011121415161718[21])</f>
        <v>0</v>
      </c>
      <c r="X11" s="9">
        <f>SUBTOTAL(103,Décembre67891011121415161718[22])</f>
        <v>0</v>
      </c>
      <c r="Y11" s="9">
        <f>SUBTOTAL(103,Décembre67891011121415161718[23])</f>
        <v>0</v>
      </c>
      <c r="Z11" s="9">
        <f>SUBTOTAL(103,Décembre67891011121415161718[24])</f>
        <v>0</v>
      </c>
      <c r="AA11" s="9">
        <f>SUBTOTAL(103,Décembre67891011121415161718[25])</f>
        <v>0</v>
      </c>
      <c r="AB11" s="9">
        <f>SUBTOTAL(103,Décembre67891011121415161718[26])</f>
        <v>0</v>
      </c>
      <c r="AC11" s="9">
        <f>SUBTOTAL(103,Décembre67891011121415161718[27])</f>
        <v>0</v>
      </c>
      <c r="AD11" s="9">
        <f>SUBTOTAL(103,Décembre67891011121415161718[28])</f>
        <v>0</v>
      </c>
      <c r="AE11" s="9">
        <f>SUBTOTAL(103,Décembre67891011121415161718[29])</f>
        <v>0</v>
      </c>
      <c r="AF11" s="9">
        <f>SUBTOTAL(103,Décembre67891011121415161718[30])</f>
        <v>0</v>
      </c>
      <c r="AG11" s="9">
        <f>SUBTOTAL(103,Décembre67891011121415161718[31])</f>
        <v>0</v>
      </c>
      <c r="AH11" s="9">
        <f>SUBTOTAL(109,Décembre67891011121415161718[[Total ]])</f>
        <v>480</v>
      </c>
      <c r="AI11" s="22"/>
      <c r="AJ11" s="22"/>
      <c r="AK11" s="22"/>
      <c r="AL11" s="22"/>
    </row>
  </sheetData>
  <mergeCells count="6">
    <mergeCell ref="C4:AG4"/>
    <mergeCell ref="D2:E2"/>
    <mergeCell ref="G2:H2"/>
    <mergeCell ref="J2:M2"/>
    <mergeCell ref="N2:Q2"/>
    <mergeCell ref="S2:V2"/>
  </mergeCells>
  <conditionalFormatting sqref="C8:AG10 C7:AA7">
    <cfRule type="expression" priority="1" stopIfTrue="1">
      <formula>C7=""</formula>
    </cfRule>
  </conditionalFormatting>
  <conditionalFormatting sqref="C8:AG10 C7:AA7">
    <cfRule type="expression" dxfId="168" priority="2" stopIfTrue="1">
      <formula>C7=CléPersonnalisée2</formula>
    </cfRule>
    <cfRule type="expression" dxfId="167" priority="3" stopIfTrue="1">
      <formula>C7=CléPersonnalisée1</formula>
    </cfRule>
    <cfRule type="expression" dxfId="166" priority="4" stopIfTrue="1">
      <formula>C7=CléMaladie</formula>
    </cfRule>
    <cfRule type="expression" dxfId="165" priority="5" stopIfTrue="1">
      <formula>C7=CléPersonnel</formula>
    </cfRule>
    <cfRule type="expression" dxfId="164"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{E0792D4F-10F8-3943-8B84-5D90151A21A5}</x14:id>
        </ext>
      </extLst>
    </cfRule>
  </conditionalFormatting>
  <dataValidations count="5">
    <dataValidation allowBlank="1" showInputMessage="1" showErrorMessage="1" prompt="Année mise à jour automatiquement en fonction de l’année entrée dans la feuille de calcul Janvier" sqref="AH4" xr:uid="{52852A4F-0F71-9842-AF1A-76B5577D7A1D}"/>
    <dataValidation allowBlank="1" showInputMessage="1" showErrorMessage="1" prompt="Suivez les absences du mois de décembre dans cette feuille de calcul" sqref="A1" xr:uid="{F1B13714-000F-824C-A626-8D9E8C79B50C}"/>
    <dataValidation allowBlank="1" showInputMessage="1" showErrorMessage="1" prompt="Entrez une lettre et personnalisez l’étiquette à droite pour ajouter un élément de clé" sqref="R2" xr:uid="{12D6D3F2-3B3A-A045-8A98-C35962195164}"/>
    <dataValidation allowBlank="1" showInputMessage="1" showErrorMessage="1" prompt="Entrez une étiquette pour décrire la clé personnalisée à gauche" sqref="N2 S2" xr:uid="{BB0E0BA0-938C-CF4C-8F54-B54030B13ED9}"/>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F4DFCE52-2515-0143-92BE-D8B7C968DECD}"/>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792D4F-10F8-3943-8B84-5D90151A21A5}">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F791-ABC4-6D4F-A0DE-9966F99C7DA7}">
  <sheetPr>
    <tabColor theme="7" tint="0.79998168889431442"/>
  </sheetPr>
  <dimension ref="A1:AL11"/>
  <sheetViews>
    <sheetView showGridLines="0" topLeftCell="R1" zoomScaleNormal="100" workbookViewId="0">
      <selection activeCell="AI14" sqref="AI14"/>
    </sheetView>
  </sheetViews>
  <sheetFormatPr defaultColWidth="9.14453125" defaultRowHeight="30" customHeight="1" x14ac:dyDescent="0.2"/>
  <cols>
    <col min="1" max="1" width="2.6875" style="7" customWidth="1"/>
    <col min="2" max="2" width="25.69140625" style="7" customWidth="1"/>
    <col min="3" max="33" width="4.70703125" style="7" customWidth="1"/>
    <col min="34" max="34" width="13.44921875" style="7" customWidth="1"/>
    <col min="35" max="36" width="9.14453125" customWidth="1"/>
    <col min="37" max="37" width="9.01171875" customWidth="1"/>
    <col min="38" max="38" width="20.984375" customWidth="1"/>
  </cols>
  <sheetData>
    <row r="1" spans="2:38" ht="50.1" customHeight="1" x14ac:dyDescent="0.2">
      <c r="B1" s="10" t="s">
        <v>65</v>
      </c>
    </row>
    <row r="2" spans="2:38" ht="15" customHeight="1" x14ac:dyDescent="0.2">
      <c r="B2" s="14"/>
      <c r="C2" s="3"/>
      <c r="D2" s="71" t="s">
        <v>44</v>
      </c>
      <c r="E2" s="72"/>
      <c r="F2" s="4"/>
      <c r="G2" s="74" t="s">
        <v>59</v>
      </c>
      <c r="H2" s="74"/>
      <c r="I2" s="5"/>
      <c r="J2" s="74" t="s">
        <v>60</v>
      </c>
      <c r="K2" s="74"/>
      <c r="L2" s="74"/>
      <c r="M2" s="74"/>
      <c r="N2" s="73"/>
      <c r="O2" s="73"/>
      <c r="P2" s="73"/>
      <c r="Q2" s="73"/>
      <c r="R2" s="15"/>
      <c r="S2" s="73"/>
      <c r="T2" s="73"/>
      <c r="U2" s="73"/>
      <c r="V2" s="73"/>
    </row>
    <row r="3" spans="2:38" ht="15" customHeight="1" x14ac:dyDescent="0.2">
      <c r="B3" s="10"/>
    </row>
    <row r="4" spans="2:38" ht="30" customHeight="1" x14ac:dyDescent="0.2">
      <c r="B4" s="63" t="s">
        <v>42</v>
      </c>
      <c r="C4" s="70" t="s">
        <v>45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63">
        <v>2021</v>
      </c>
    </row>
    <row r="5" spans="2:38" ht="15" customHeight="1" x14ac:dyDescent="0.2">
      <c r="B5" s="63"/>
      <c r="C5" s="1" t="s">
        <v>68</v>
      </c>
      <c r="D5" s="1" t="s">
        <v>53</v>
      </c>
      <c r="E5" s="1" t="s">
        <v>54</v>
      </c>
      <c r="F5" s="1" t="s">
        <v>55</v>
      </c>
      <c r="G5" s="1" t="s">
        <v>56</v>
      </c>
      <c r="H5" s="1" t="s">
        <v>57</v>
      </c>
      <c r="I5" s="1" t="s">
        <v>51</v>
      </c>
      <c r="J5" s="1" t="s">
        <v>52</v>
      </c>
      <c r="K5" s="1" t="s">
        <v>53</v>
      </c>
      <c r="L5" s="1" t="s">
        <v>54</v>
      </c>
      <c r="M5" s="1" t="s">
        <v>55</v>
      </c>
      <c r="N5" s="1" t="s">
        <v>56</v>
      </c>
      <c r="O5" s="1" t="s">
        <v>57</v>
      </c>
      <c r="P5" s="1" t="s">
        <v>51</v>
      </c>
      <c r="Q5" s="1" t="s">
        <v>52</v>
      </c>
      <c r="R5" s="1" t="s">
        <v>53</v>
      </c>
      <c r="S5" s="1" t="s">
        <v>54</v>
      </c>
      <c r="T5" s="1" t="s">
        <v>55</v>
      </c>
      <c r="U5" s="1" t="s">
        <v>56</v>
      </c>
      <c r="V5" s="1" t="s">
        <v>57</v>
      </c>
      <c r="W5" s="1" t="s">
        <v>51</v>
      </c>
      <c r="X5" s="1" t="s">
        <v>52</v>
      </c>
      <c r="Y5" s="1" t="s">
        <v>53</v>
      </c>
      <c r="Z5" s="1" t="s">
        <v>54</v>
      </c>
      <c r="AA5" s="1" t="s">
        <v>55</v>
      </c>
      <c r="AB5" s="1" t="s">
        <v>56</v>
      </c>
      <c r="AC5" s="1" t="s">
        <v>57</v>
      </c>
      <c r="AD5" s="1" t="s">
        <v>51</v>
      </c>
      <c r="AE5" s="1" t="s">
        <v>52</v>
      </c>
      <c r="AF5" s="1" t="s">
        <v>53</v>
      </c>
      <c r="AG5" s="1" t="s">
        <v>54</v>
      </c>
      <c r="AH5" s="63"/>
    </row>
    <row r="6" spans="2:38" ht="15" customHeight="1" x14ac:dyDescent="0.2">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x14ac:dyDescent="0.2">
      <c r="B7" s="17" t="s">
        <v>115</v>
      </c>
      <c r="C7" s="3"/>
      <c r="D7" s="3"/>
      <c r="E7" s="3"/>
      <c r="F7" s="3"/>
      <c r="G7" s="3"/>
      <c r="H7" s="3"/>
      <c r="I7" s="3"/>
      <c r="J7" s="2"/>
      <c r="K7" s="2"/>
      <c r="L7" s="2"/>
      <c r="M7" s="2"/>
      <c r="N7" s="2"/>
      <c r="O7" s="2"/>
      <c r="P7" s="2"/>
      <c r="Q7" s="2"/>
      <c r="R7" s="2"/>
      <c r="S7" s="2"/>
      <c r="T7" s="2"/>
      <c r="U7" s="2"/>
      <c r="V7" s="2"/>
      <c r="W7" s="2"/>
      <c r="X7" s="2"/>
      <c r="Y7" s="2"/>
      <c r="Z7" s="2"/>
      <c r="AA7" s="2"/>
      <c r="AB7" s="2"/>
      <c r="AC7" s="2"/>
      <c r="AD7" s="2"/>
      <c r="AE7" s="2"/>
      <c r="AF7" s="2"/>
      <c r="AG7" s="2"/>
      <c r="AH7" s="6">
        <v>480</v>
      </c>
      <c r="AI7" s="20"/>
      <c r="AJ7" s="26">
        <f t="shared" ref="AJ7:AJ10" si="0">(AH7)-(AI7)</f>
        <v>480</v>
      </c>
      <c r="AK7" s="20"/>
      <c r="AL7" s="20"/>
    </row>
    <row r="8" spans="2:38" ht="30" customHeight="1" x14ac:dyDescent="0.2">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x14ac:dyDescent="0.2">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COUNTA(Décembre678910111214151617182[[#This Row],[1]:[31]])</f>
        <v>0</v>
      </c>
      <c r="AI9" s="21"/>
      <c r="AJ9" s="26">
        <f t="shared" si="0"/>
        <v>0</v>
      </c>
      <c r="AK9" s="21"/>
      <c r="AL9" s="20"/>
    </row>
    <row r="10" spans="2:38" ht="30" customHeight="1" x14ac:dyDescent="0.2">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COUNTA(Décembre678910111214151617182[[#This Row],[1]:[31]])</f>
        <v>0</v>
      </c>
      <c r="AI10" s="21"/>
      <c r="AJ10" s="26">
        <f t="shared" si="0"/>
        <v>0</v>
      </c>
      <c r="AK10" s="21"/>
      <c r="AL10" s="20"/>
    </row>
    <row r="11" spans="2:38" ht="30" customHeight="1" x14ac:dyDescent="0.2">
      <c r="B11" s="12"/>
      <c r="C11" s="9">
        <f>SUBTOTAL(103,Décembre678910111214151617182[1])</f>
        <v>0</v>
      </c>
      <c r="D11" s="9">
        <f>SUBTOTAL(103,Décembre678910111214151617182[2])</f>
        <v>0</v>
      </c>
      <c r="E11" s="9">
        <f>SUBTOTAL(103,Décembre678910111214151617182[3])</f>
        <v>0</v>
      </c>
      <c r="F11" s="9">
        <f>SUBTOTAL(103,Décembre678910111214151617182[4])</f>
        <v>0</v>
      </c>
      <c r="G11" s="9">
        <f>SUBTOTAL(103,Décembre678910111214151617182[5])</f>
        <v>0</v>
      </c>
      <c r="H11" s="9">
        <f>SUBTOTAL(103,Décembre678910111214151617182[6])</f>
        <v>0</v>
      </c>
      <c r="I11" s="9">
        <f>SUBTOTAL(103,Décembre678910111214151617182[7])</f>
        <v>0</v>
      </c>
      <c r="J11" s="9">
        <f>SUBTOTAL(103,Décembre678910111214151617182[8])</f>
        <v>0</v>
      </c>
      <c r="K11" s="9">
        <f>SUBTOTAL(103,Décembre678910111214151617182[9])</f>
        <v>0</v>
      </c>
      <c r="L11" s="9">
        <f>SUBTOTAL(103,Décembre678910111214151617182[10])</f>
        <v>0</v>
      </c>
      <c r="M11" s="9">
        <f>SUBTOTAL(103,Décembre678910111214151617182[11])</f>
        <v>0</v>
      </c>
      <c r="N11" s="9">
        <f>SUBTOTAL(103,Décembre678910111214151617182[12])</f>
        <v>0</v>
      </c>
      <c r="O11" s="9">
        <f>SUBTOTAL(103,Décembre678910111214151617182[13])</f>
        <v>0</v>
      </c>
      <c r="P11" s="9">
        <f>SUBTOTAL(103,Décembre678910111214151617182[14])</f>
        <v>0</v>
      </c>
      <c r="Q11" s="9">
        <f>SUBTOTAL(103,Décembre678910111214151617182[15])</f>
        <v>0</v>
      </c>
      <c r="R11" s="9">
        <f>SUBTOTAL(103,Décembre678910111214151617182[16])</f>
        <v>0</v>
      </c>
      <c r="S11" s="9">
        <f>SUBTOTAL(103,Décembre678910111214151617182[17])</f>
        <v>0</v>
      </c>
      <c r="T11" s="9">
        <f>SUBTOTAL(103,Décembre678910111214151617182[18])</f>
        <v>0</v>
      </c>
      <c r="U11" s="9">
        <f>SUBTOTAL(103,Décembre678910111214151617182[19])</f>
        <v>0</v>
      </c>
      <c r="V11" s="9">
        <f>SUBTOTAL(103,Décembre678910111214151617182[20])</f>
        <v>0</v>
      </c>
      <c r="W11" s="9">
        <f>SUBTOTAL(103,Décembre678910111214151617182[21])</f>
        <v>0</v>
      </c>
      <c r="X11" s="9">
        <f>SUBTOTAL(103,Décembre678910111214151617182[22])</f>
        <v>0</v>
      </c>
      <c r="Y11" s="9">
        <f>SUBTOTAL(103,Décembre678910111214151617182[23])</f>
        <v>0</v>
      </c>
      <c r="Z11" s="9">
        <f>SUBTOTAL(103,Décembre678910111214151617182[24])</f>
        <v>0</v>
      </c>
      <c r="AA11" s="9">
        <f>SUBTOTAL(103,Décembre678910111214151617182[25])</f>
        <v>0</v>
      </c>
      <c r="AB11" s="9">
        <f>SUBTOTAL(103,Décembre678910111214151617182[26])</f>
        <v>0</v>
      </c>
      <c r="AC11" s="9">
        <f>SUBTOTAL(103,Décembre678910111214151617182[27])</f>
        <v>0</v>
      </c>
      <c r="AD11" s="9">
        <f>SUBTOTAL(103,Décembre678910111214151617182[28])</f>
        <v>0</v>
      </c>
      <c r="AE11" s="9">
        <f>SUBTOTAL(103,Décembre678910111214151617182[29])</f>
        <v>0</v>
      </c>
      <c r="AF11" s="9">
        <f>SUBTOTAL(103,Décembre678910111214151617182[30])</f>
        <v>0</v>
      </c>
      <c r="AG11" s="9">
        <f>SUBTOTAL(103,Décembre678910111214151617182[31])</f>
        <v>0</v>
      </c>
      <c r="AH11" s="9">
        <f>SUBTOTAL(109,Décembre678910111214151617182[[Total ]])</f>
        <v>480</v>
      </c>
      <c r="AI11" s="22"/>
      <c r="AJ11" s="22"/>
      <c r="AK11" s="22"/>
      <c r="AL11" s="22"/>
    </row>
  </sheetData>
  <mergeCells count="6">
    <mergeCell ref="C4:AG4"/>
    <mergeCell ref="D2:E2"/>
    <mergeCell ref="G2:H2"/>
    <mergeCell ref="J2:M2"/>
    <mergeCell ref="N2:Q2"/>
    <mergeCell ref="S2:V2"/>
  </mergeCells>
  <conditionalFormatting sqref="C8:AG10 J7:AA7">
    <cfRule type="expression" priority="7" stopIfTrue="1">
      <formula>C7=""</formula>
    </cfRule>
  </conditionalFormatting>
  <conditionalFormatting sqref="C8:AG10 J7:AA7">
    <cfRule type="expression" dxfId="86" priority="8" stopIfTrue="1">
      <formula>C7=CléPersonnalisée2</formula>
    </cfRule>
    <cfRule type="expression" dxfId="85" priority="9" stopIfTrue="1">
      <formula>C7=CléPersonnalisée1</formula>
    </cfRule>
    <cfRule type="expression" dxfId="84" priority="10" stopIfTrue="1">
      <formula>C7=CléMaladie</formula>
    </cfRule>
    <cfRule type="expression" dxfId="83" priority="11" stopIfTrue="1">
      <formula>C7=CléPersonnel</formula>
    </cfRule>
    <cfRule type="expression" dxfId="82" priority="12" stopIfTrue="1">
      <formula>C7=CléCongé</formula>
    </cfRule>
  </conditionalFormatting>
  <conditionalFormatting sqref="AH7:AH10">
    <cfRule type="dataBar" priority="13">
      <dataBar>
        <cfvo type="min"/>
        <cfvo type="formula" val="DATEDIF(DATE(AnnéeCalendrier,2,1),DATE(AnnéeCalendrier,3,1),&quot;d&quot;)"/>
        <color theme="2" tint="-0.249977111117893"/>
      </dataBar>
      <extLst>
        <ext xmlns:x14="http://schemas.microsoft.com/office/spreadsheetml/2009/9/main" uri="{B025F937-C7B1-47D3-B67F-A62EFF666E3E}">
          <x14:id>{BE8EE6B4-4027-444F-8A72-B7299726C002}</x14:id>
        </ext>
      </extLst>
    </cfRule>
  </conditionalFormatting>
  <conditionalFormatting sqref="AB7:AG7">
    <cfRule type="expression" priority="1" stopIfTrue="1">
      <formula>AB7=""</formula>
    </cfRule>
  </conditionalFormatting>
  <conditionalFormatting sqref="AB7:AG7">
    <cfRule type="expression" dxfId="81" priority="2" stopIfTrue="1">
      <formula>AB7=CléPersonnalisée2</formula>
    </cfRule>
    <cfRule type="expression" dxfId="80" priority="3" stopIfTrue="1">
      <formula>AB7=CléPersonnalisée1</formula>
    </cfRule>
    <cfRule type="expression" dxfId="79" priority="4" stopIfTrue="1">
      <formula>AB7=CléMaladie</formula>
    </cfRule>
    <cfRule type="expression" dxfId="78" priority="5" stopIfTrue="1">
      <formula>AB7=CléPersonnel</formula>
    </cfRule>
    <cfRule type="expression" dxfId="77" priority="6" stopIfTrue="1">
      <formula>AB7=CléCongé</formula>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76989396-17D9-C94E-8687-27625F3C761A}"/>
    <dataValidation allowBlank="1" showInputMessage="1" showErrorMessage="1" prompt="Entrez une étiquette pour décrire la clé personnalisée à gauche" sqref="N2 S2" xr:uid="{E4CAF91F-254D-8643-91AD-289736A06073}"/>
    <dataValidation allowBlank="1" showInputMessage="1" showErrorMessage="1" prompt="Entrez une lettre et personnalisez l’étiquette à droite pour ajouter un élément de clé" sqref="R2" xr:uid="{17AF1C3D-8DAF-BA41-8FD6-DBBC64982200}"/>
    <dataValidation allowBlank="1" showInputMessage="1" showErrorMessage="1" prompt="Suivez les absences du mois de décembre dans cette feuille de calcul" sqref="A1" xr:uid="{4BF7655A-DB55-2542-8B74-B74CF9E898B0}"/>
    <dataValidation allowBlank="1" showInputMessage="1" showErrorMessage="1" prompt="Année mise à jour automatiquement en fonction de l’année entrée dans la feuille de calcul Janvier" sqref="AH4" xr:uid="{DA05AD42-F065-DF47-B26E-5345BE20189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E8EE6B4-4027-444F-8A72-B7299726C002}">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943B-2017-FF47-82C2-C9BBD87F8A45}">
  <dimension ref="A1"/>
  <sheetViews>
    <sheetView workbookViewId="0"/>
  </sheetViews>
  <sheetFormatPr defaultColWidth="10.7617187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Feuilles de calcul</vt:lpstr>
      </vt:variant>
      <vt:variant>
        <vt:i4>15</vt:i4>
      </vt:variant>
      <vt:variant>
        <vt:lpstr>Plages nommées</vt:lpstr>
      </vt:variant>
      <vt:variant>
        <vt:i4>54</vt:i4>
      </vt:variant>
    </vt:vector>
  </HeadingPairs>
  <TitlesOfParts>
    <vt:vector size="69" baseType="lpstr">
      <vt:lpstr>Décembre 2019</vt:lpstr>
      <vt:lpstr>Janvier 2020</vt:lpstr>
      <vt:lpstr>Février</vt:lpstr>
      <vt:lpstr>Mars</vt:lpstr>
      <vt:lpstr>Avril</vt:lpstr>
      <vt:lpstr>Mai</vt:lpstr>
      <vt:lpstr>Juin</vt:lpstr>
      <vt:lpstr>Juillet</vt:lpstr>
      <vt:lpstr>Août</vt:lpstr>
      <vt:lpstr>Septembre</vt:lpstr>
      <vt:lpstr>Octobre</vt:lpstr>
      <vt:lpstr>Novembre</vt:lpstr>
      <vt:lpstr>Décembre 2020</vt:lpstr>
      <vt:lpstr>Janv 2021</vt:lpstr>
      <vt:lpstr>Feuil1</vt:lpstr>
      <vt:lpstr>Août!CAL</vt:lpstr>
      <vt:lpstr>Avril!CAL</vt:lpstr>
      <vt:lpstr>Décembre 2020!CAL</vt:lpstr>
      <vt:lpstr>Janv 2021!CAL</vt:lpstr>
      <vt:lpstr>Juillet!CAL</vt:lpstr>
      <vt:lpstr>Juin!CAL</vt:lpstr>
      <vt:lpstr>Mai!CAL</vt:lpstr>
      <vt:lpstr>Mars!CAL</vt:lpstr>
      <vt:lpstr>Novembre!CAL</vt:lpstr>
      <vt:lpstr>Octobre!CAL</vt:lpstr>
      <vt:lpstr>Septembre!CAL</vt:lpstr>
      <vt:lpstr>CAL</vt:lpstr>
      <vt:lpstr>Août!Impression_des_titres</vt:lpstr>
      <vt:lpstr>Avril!Impression_des_titres</vt:lpstr>
      <vt:lpstr>Décembre 2019!Impression_des_titres</vt:lpstr>
      <vt:lpstr>Décembre 2020!Impression_des_titres</vt:lpstr>
      <vt:lpstr>Février!Impression_des_titres</vt:lpstr>
      <vt:lpstr>Janv 2021!Impression_des_titres</vt:lpstr>
      <vt:lpstr>Janvier 2020!Impression_des_titres</vt:lpstr>
      <vt:lpstr>Juillet!Impression_des_titres</vt:lpstr>
      <vt:lpstr>Juin!Impression_des_titres</vt:lpstr>
      <vt:lpstr>Mai!Impression_des_titres</vt:lpstr>
      <vt:lpstr>Mars!Impression_des_titres</vt:lpstr>
      <vt:lpstr>Novembre!Impression_des_titres</vt:lpstr>
      <vt:lpstr>Octobre!Impression_des_titres</vt:lpstr>
      <vt:lpstr>Septembre!Impression_des_titres</vt:lpstr>
      <vt:lpstr>Août!NomMois</vt:lpstr>
      <vt:lpstr>Avril!NomMois</vt:lpstr>
      <vt:lpstr>Décembre 2019!NomMois</vt:lpstr>
      <vt:lpstr>Décembre 2020!NomMois</vt:lpstr>
      <vt:lpstr>Février!NomMois</vt:lpstr>
      <vt:lpstr>Janv 2021!NomMois</vt:lpstr>
      <vt:lpstr>Janvier 2020!NomMois</vt:lpstr>
      <vt:lpstr>Juillet!NomMois</vt:lpstr>
      <vt:lpstr>Juin!NomMois</vt:lpstr>
      <vt:lpstr>Mai!NomMois</vt:lpstr>
      <vt:lpstr>Mars!NomMois</vt:lpstr>
      <vt:lpstr>Novembre!NomMois</vt:lpstr>
      <vt:lpstr>Octobre!NomMois</vt:lpstr>
      <vt:lpstr>Septembre!NomMois</vt:lpstr>
      <vt:lpstr>Août!Titre12</vt:lpstr>
      <vt:lpstr>Avril!Titre12</vt:lpstr>
      <vt:lpstr>Décembre 2020!Titre12</vt:lpstr>
      <vt:lpstr>Février!Titre12</vt:lpstr>
      <vt:lpstr>Janv 2021!Titre12</vt:lpstr>
      <vt:lpstr>Janvier 2020!Titre12</vt:lpstr>
      <vt:lpstr>Juillet!Titre12</vt:lpstr>
      <vt:lpstr>Juin!Titre12</vt:lpstr>
      <vt:lpstr>Mai!Titre12</vt:lpstr>
      <vt:lpstr>Mars!Titre12</vt:lpstr>
      <vt:lpstr>Novembre!Titre12</vt:lpstr>
      <vt:lpstr>Octobre!Titre12</vt:lpstr>
      <vt:lpstr>Septembre!Titre12</vt:lpstr>
      <vt:lpstr>Titre12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Laurence Payet</dc:creator>
  <cp:lastModifiedBy>Laurence Payet</cp:lastModifiedBy>
  <dcterms:created xsi:type="dcterms:W3CDTF">2016-12-06T04:52:27Z</dcterms:created>
  <dcterms:modified xsi:type="dcterms:W3CDTF">2020-08-03T09:06:46Z</dcterms:modified>
</cp:coreProperties>
</file>