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mc:AlternateContent xmlns:mc="http://schemas.openxmlformats.org/markup-compatibility/2006">
    <mc:Choice Requires="x15">
      <x15ac:absPath xmlns:x15ac="http://schemas.microsoft.com/office/spreadsheetml/2010/11/ac" url="/Volumes/VMLPDoc/Documents Laurence/"/>
    </mc:Choice>
  </mc:AlternateContent>
  <xr:revisionPtr revIDLastSave="0" documentId="8_{1E7BE44B-D7DD-5F41-A727-865102388B4E}" xr6:coauthVersionLast="37" xr6:coauthVersionMax="37" xr10:uidLastSave="{00000000-0000-0000-0000-000000000000}"/>
  <bookViews>
    <workbookView xWindow="0" yWindow="0" windowWidth="28800" windowHeight="18000" tabRatio="686" firstSheet="4" activeTab="8" xr2:uid="{00000000-000D-0000-FFFF-FFFF00000000}"/>
  </bookViews>
  <sheets>
    <sheet name="Décembre 2019" sheetId="15" r:id="rId1"/>
    <sheet name="Janvier 2020" sheetId="29" r:id="rId2"/>
    <sheet name="Février" sheetId="30" r:id="rId3"/>
    <sheet name="Mars" sheetId="31" r:id="rId4"/>
    <sheet name="Avril" sheetId="32" r:id="rId5"/>
    <sheet name="Mai" sheetId="33" r:id="rId6"/>
    <sheet name="Juin" sheetId="34" r:id="rId7"/>
    <sheet name="Juillet" sheetId="35" r:id="rId8"/>
    <sheet name="Août" sheetId="36" r:id="rId9"/>
    <sheet name="Septembre" sheetId="37" r:id="rId10"/>
    <sheet name="Octobre" sheetId="38" r:id="rId11"/>
    <sheet name="Novembre" sheetId="39" r:id="rId12"/>
    <sheet name="Décembre 2020" sheetId="40" r:id="rId13"/>
    <sheet name="Janv 2021" sheetId="42" r:id="rId14"/>
    <sheet name="Feuil1" sheetId="41" r:id="rId15"/>
  </sheets>
  <definedNames>
    <definedName name="AnnéeCalendrier" localSheetId="13">#REF!</definedName>
    <definedName name="AnnéeCalendrier">#REF!</definedName>
    <definedName name="CAL" localSheetId="8">Décembre[[#Headers],[Nom des locataires]]</definedName>
    <definedName name="CAL" localSheetId="4">Décembre[[#Headers],[Nom des locataires]]</definedName>
    <definedName name="CAL" localSheetId="12">Décembre[[#Headers],[Nom des locataires]]</definedName>
    <definedName name="CAL" localSheetId="13">Décembre[[#Headers],[Nom des locataires]]</definedName>
    <definedName name="CAL" localSheetId="7">Décembre[[#Headers],[Nom des locataires]]</definedName>
    <definedName name="CAL" localSheetId="6">Décembre[[#Headers],[Nom des locataires]]</definedName>
    <definedName name="CAL" localSheetId="5">Décembre[[#Headers],[Nom des locataires]]</definedName>
    <definedName name="CAL" localSheetId="3">Décembre[[#Headers],[Nom des locataires]]</definedName>
    <definedName name="CAL" localSheetId="11">Décembre[[#Headers],[Nom des locataires]]</definedName>
    <definedName name="CAL" localSheetId="10">Décembre[[#Headers],[Nom des locataires]]</definedName>
    <definedName name="CAL" localSheetId="9">Décembre[[#Headers],[Nom des locataires]]</definedName>
    <definedName name="CAL">Décembre[[#Headers],[Nom des locataires]]</definedName>
    <definedName name="CléCongé" localSheetId="13">#REF!</definedName>
    <definedName name="CléCongé">#REF!</definedName>
    <definedName name="CléMaladie" localSheetId="13">#REF!</definedName>
    <definedName name="CléMaladie">#REF!</definedName>
    <definedName name="CléPersonnalisée1" localSheetId="13">#REF!</definedName>
    <definedName name="CléPersonnalisée1">#REF!</definedName>
    <definedName name="CléPersonnalisée2" localSheetId="13">#REF!</definedName>
    <definedName name="CléPersonnalisée2">#REF!</definedName>
    <definedName name="CléPersonnel" localSheetId="13">#REF!</definedName>
    <definedName name="CléPersonnel">#REF!</definedName>
    <definedName name="ÉtiquetteCléCongé" localSheetId="13">#REF!</definedName>
    <definedName name="ÉtiquetteCléCongé">#REF!</definedName>
    <definedName name="ÉtiquetteCléMaladie" localSheetId="13">#REF!</definedName>
    <definedName name="ÉtiquetteCléMaladie">#REF!</definedName>
    <definedName name="ÉtiquetteCléPersonnalisée1" localSheetId="13">#REF!</definedName>
    <definedName name="ÉtiquetteCléPersonnalisée1">#REF!</definedName>
    <definedName name="ÉtiquetteCléPersonnalisée2" localSheetId="13">#REF!</definedName>
    <definedName name="ÉtiquetteCléPersonnalisée2">#REF!</definedName>
    <definedName name="ÉtiquetteCléPersonnel" localSheetId="13">#REF!</definedName>
    <definedName name="ÉtiquetteCléPersonnel">#REF!</definedName>
    <definedName name="_xlnm.Print_Titles" localSheetId="8">Août!$4:$6</definedName>
    <definedName name="_xlnm.Print_Titles" localSheetId="4">Avril!$4:$6</definedName>
    <definedName name="_xlnm.Print_Titles" localSheetId="0">'Décembre 2019'!$4:$6</definedName>
    <definedName name="_xlnm.Print_Titles" localSheetId="12">'Décembre 2020'!$4:$6</definedName>
    <definedName name="_xlnm.Print_Titles" localSheetId="2">Février!$4:$6</definedName>
    <definedName name="_xlnm.Print_Titles" localSheetId="13">'Janv 2021'!$4:$6</definedName>
    <definedName name="_xlnm.Print_Titles" localSheetId="1">'Janvier 2020'!$4:$6</definedName>
    <definedName name="_xlnm.Print_Titles" localSheetId="7">Juillet!$4:$6</definedName>
    <definedName name="_xlnm.Print_Titles" localSheetId="6">Juin!$4:$6</definedName>
    <definedName name="_xlnm.Print_Titles" localSheetId="5">Mai!$4:$6</definedName>
    <definedName name="_xlnm.Print_Titles" localSheetId="3">Mars!$4:$6</definedName>
    <definedName name="_xlnm.Print_Titles" localSheetId="11">Novembre!$4:$6</definedName>
    <definedName name="_xlnm.Print_Titles" localSheetId="10">Octobre!$4:$6</definedName>
    <definedName name="_xlnm.Print_Titles" localSheetId="9">Septembre!$4:$6</definedName>
    <definedName name="Nom_clé" localSheetId="13">#REF!</definedName>
    <definedName name="Nom_clé">#REF!</definedName>
    <definedName name="NomMois" localSheetId="8">Août!$B$4</definedName>
    <definedName name="NomMois" localSheetId="4">Avril!$B$4</definedName>
    <definedName name="NomMois" localSheetId="0">'Décembre 2019'!$B$4</definedName>
    <definedName name="NomMois" localSheetId="12">'Décembre 2020'!$B$4</definedName>
    <definedName name="NomMois" localSheetId="2">Février!$B$4</definedName>
    <definedName name="NomMois" localSheetId="13">'Janv 2021'!$B$4</definedName>
    <definedName name="NomMois" localSheetId="1">'Janvier 2020'!$B$4</definedName>
    <definedName name="NomMois" localSheetId="7">Juillet!$B$4</definedName>
    <definedName name="NomMois" localSheetId="6">Juin!$B$4</definedName>
    <definedName name="NomMois" localSheetId="5">Mai!$B$4</definedName>
    <definedName name="NomMois" localSheetId="3">Mars!$B$4</definedName>
    <definedName name="NomMois" localSheetId="11">Novembre!$B$4</definedName>
    <definedName name="NomMois" localSheetId="10">Octobre!$B$4</definedName>
    <definedName name="NomMois" localSheetId="9">Septembre!$B$4</definedName>
    <definedName name="Titre_Absence_Employé" localSheetId="13">#REF!</definedName>
    <definedName name="Titre_Absence_Employé">#REF!</definedName>
    <definedName name="Titre1" localSheetId="8">#REF!</definedName>
    <definedName name="Titre1" localSheetId="4">#REF!</definedName>
    <definedName name="Titre1" localSheetId="12">#REF!</definedName>
    <definedName name="Titre1" localSheetId="2">#REF!</definedName>
    <definedName name="Titre1" localSheetId="13">#REF!</definedName>
    <definedName name="Titre1" localSheetId="1">#REF!</definedName>
    <definedName name="Titre1" localSheetId="7">#REF!</definedName>
    <definedName name="Titre1" localSheetId="6">#REF!</definedName>
    <definedName name="Titre1" localSheetId="5">#REF!</definedName>
    <definedName name="Titre1" localSheetId="3">#REF!</definedName>
    <definedName name="Titre1" localSheetId="11">#REF!</definedName>
    <definedName name="Titre1" localSheetId="10">#REF!</definedName>
    <definedName name="Titre1" localSheetId="9">#REF!</definedName>
    <definedName name="Titre1">#REF!</definedName>
    <definedName name="Titre10" localSheetId="8">#REF!</definedName>
    <definedName name="Titre10" localSheetId="4">#REF!</definedName>
    <definedName name="Titre10" localSheetId="12">#REF!</definedName>
    <definedName name="Titre10" localSheetId="2">#REF!</definedName>
    <definedName name="Titre10" localSheetId="13">#REF!</definedName>
    <definedName name="Titre10" localSheetId="1">#REF!</definedName>
    <definedName name="Titre10" localSheetId="7">#REF!</definedName>
    <definedName name="Titre10" localSheetId="6">#REF!</definedName>
    <definedName name="Titre10" localSheetId="5">#REF!</definedName>
    <definedName name="Titre10" localSheetId="3">#REF!</definedName>
    <definedName name="Titre10" localSheetId="11">#REF!</definedName>
    <definedName name="Titre10" localSheetId="10">#REF!</definedName>
    <definedName name="Titre10" localSheetId="9">#REF!</definedName>
    <definedName name="Titre10">#REF!</definedName>
    <definedName name="Titre11" localSheetId="8">#REF!</definedName>
    <definedName name="Titre11" localSheetId="4">#REF!</definedName>
    <definedName name="Titre11" localSheetId="12">#REF!</definedName>
    <definedName name="Titre11" localSheetId="2">#REF!</definedName>
    <definedName name="Titre11" localSheetId="13">#REF!</definedName>
    <definedName name="Titre11" localSheetId="1">#REF!</definedName>
    <definedName name="Titre11" localSheetId="7">#REF!</definedName>
    <definedName name="Titre11" localSheetId="6">#REF!</definedName>
    <definedName name="Titre11" localSheetId="5">#REF!</definedName>
    <definedName name="Titre11" localSheetId="3">#REF!</definedName>
    <definedName name="Titre11" localSheetId="11">#REF!</definedName>
    <definedName name="Titre11" localSheetId="10">#REF!</definedName>
    <definedName name="Titre11" localSheetId="9">#REF!</definedName>
    <definedName name="Titre11">#REF!</definedName>
    <definedName name="Titre12" localSheetId="8">Décembre678910111214[[#Headers],[Nom des locataires]]</definedName>
    <definedName name="Titre12" localSheetId="4">Décembre6789[[#Headers],[Nom des locataires]]</definedName>
    <definedName name="Titre12" localSheetId="12">Décembre67891011121415161718[[#Headers],[Nom des locataires]]</definedName>
    <definedName name="Titre12" localSheetId="2">Décembre67[[#Headers],[Nom des locataires]]</definedName>
    <definedName name="Titre12" localSheetId="13">Décembre678910111214151617182[[#Headers],[Nom des locataires]]</definedName>
    <definedName name="Titre12" localSheetId="1">Décembre6[[#Headers],[Nom des locataires]]</definedName>
    <definedName name="Titre12" localSheetId="7">Décembre6789101112[[#Headers],[Nom des locataires]]</definedName>
    <definedName name="Titre12" localSheetId="6">Décembre67891011[[#Headers],[Nom des locataires]]</definedName>
    <definedName name="Titre12" localSheetId="5">Décembre678910[[#Headers],[Nom des locataires]]</definedName>
    <definedName name="Titre12" localSheetId="3">Décembre678[[#Headers],[Nom des locataires]]</definedName>
    <definedName name="Titre12" localSheetId="11">Décembre678910111214151617[[#Headers],[Nom des locataires]]</definedName>
    <definedName name="Titre12" localSheetId="10">Décembre6789101112141516[[#Headers],[Nom des locataires]]</definedName>
    <definedName name="Titre12" localSheetId="9">Décembre67891011121415[[#Headers],[Nom des locataires]]</definedName>
    <definedName name="Titre12">Décembre[[#Headers],[Nom des locataires]]</definedName>
    <definedName name="Titre2" localSheetId="8">#REF!</definedName>
    <definedName name="Titre2" localSheetId="4">#REF!</definedName>
    <definedName name="Titre2" localSheetId="12">#REF!</definedName>
    <definedName name="Titre2" localSheetId="2">#REF!</definedName>
    <definedName name="Titre2" localSheetId="13">#REF!</definedName>
    <definedName name="Titre2" localSheetId="1">#REF!</definedName>
    <definedName name="Titre2" localSheetId="7">#REF!</definedName>
    <definedName name="Titre2" localSheetId="6">#REF!</definedName>
    <definedName name="Titre2" localSheetId="5">#REF!</definedName>
    <definedName name="Titre2" localSheetId="3">#REF!</definedName>
    <definedName name="Titre2" localSheetId="11">#REF!</definedName>
    <definedName name="Titre2" localSheetId="10">#REF!</definedName>
    <definedName name="Titre2" localSheetId="9">#REF!</definedName>
    <definedName name="Titre2">#REF!</definedName>
    <definedName name="Titre3" localSheetId="8">#REF!</definedName>
    <definedName name="Titre3" localSheetId="4">#REF!</definedName>
    <definedName name="Titre3" localSheetId="12">#REF!</definedName>
    <definedName name="Titre3" localSheetId="2">#REF!</definedName>
    <definedName name="Titre3" localSheetId="13">#REF!</definedName>
    <definedName name="Titre3" localSheetId="1">#REF!</definedName>
    <definedName name="Titre3" localSheetId="7">#REF!</definedName>
    <definedName name="Titre3" localSheetId="6">#REF!</definedName>
    <definedName name="Titre3" localSheetId="5">#REF!</definedName>
    <definedName name="Titre3" localSheetId="3">#REF!</definedName>
    <definedName name="Titre3" localSheetId="11">#REF!</definedName>
    <definedName name="Titre3" localSheetId="10">#REF!</definedName>
    <definedName name="Titre3" localSheetId="9">#REF!</definedName>
    <definedName name="Titre3">#REF!</definedName>
    <definedName name="Titre4" localSheetId="8">#REF!</definedName>
    <definedName name="Titre4" localSheetId="4">#REF!</definedName>
    <definedName name="Titre4" localSheetId="12">#REF!</definedName>
    <definedName name="Titre4" localSheetId="2">#REF!</definedName>
    <definedName name="Titre4" localSheetId="13">#REF!</definedName>
    <definedName name="Titre4" localSheetId="1">#REF!</definedName>
    <definedName name="Titre4" localSheetId="7">#REF!</definedName>
    <definedName name="Titre4" localSheetId="6">#REF!</definedName>
    <definedName name="Titre4" localSheetId="5">#REF!</definedName>
    <definedName name="Titre4" localSheetId="3">#REF!</definedName>
    <definedName name="Titre4" localSheetId="11">#REF!</definedName>
    <definedName name="Titre4" localSheetId="10">#REF!</definedName>
    <definedName name="Titre4" localSheetId="9">#REF!</definedName>
    <definedName name="Titre4">#REF!</definedName>
    <definedName name="Titre5" localSheetId="8">#REF!</definedName>
    <definedName name="Titre5" localSheetId="4">#REF!</definedName>
    <definedName name="Titre5" localSheetId="12">#REF!</definedName>
    <definedName name="Titre5" localSheetId="2">#REF!</definedName>
    <definedName name="Titre5" localSheetId="13">#REF!</definedName>
    <definedName name="Titre5" localSheetId="1">#REF!</definedName>
    <definedName name="Titre5" localSheetId="7">#REF!</definedName>
    <definedName name="Titre5" localSheetId="6">#REF!</definedName>
    <definedName name="Titre5" localSheetId="5">#REF!</definedName>
    <definedName name="Titre5" localSheetId="3">#REF!</definedName>
    <definedName name="Titre5" localSheetId="11">#REF!</definedName>
    <definedName name="Titre5" localSheetId="10">#REF!</definedName>
    <definedName name="Titre5" localSheetId="9">#REF!</definedName>
    <definedName name="Titre5">#REF!</definedName>
    <definedName name="Titre6" localSheetId="8">#REF!</definedName>
    <definedName name="Titre6" localSheetId="4">#REF!</definedName>
    <definedName name="Titre6" localSheetId="12">#REF!</definedName>
    <definedName name="Titre6" localSheetId="2">#REF!</definedName>
    <definedName name="Titre6" localSheetId="13">#REF!</definedName>
    <definedName name="Titre6" localSheetId="1">#REF!</definedName>
    <definedName name="Titre6" localSheetId="7">#REF!</definedName>
    <definedName name="Titre6" localSheetId="6">#REF!</definedName>
    <definedName name="Titre6" localSheetId="5">#REF!</definedName>
    <definedName name="Titre6" localSheetId="3">#REF!</definedName>
    <definedName name="Titre6" localSheetId="11">#REF!</definedName>
    <definedName name="Titre6" localSheetId="10">#REF!</definedName>
    <definedName name="Titre6" localSheetId="9">#REF!</definedName>
    <definedName name="Titre6">#REF!</definedName>
    <definedName name="Titre7" localSheetId="8">#REF!</definedName>
    <definedName name="Titre7" localSheetId="4">#REF!</definedName>
    <definedName name="Titre7" localSheetId="12">#REF!</definedName>
    <definedName name="Titre7" localSheetId="2">#REF!</definedName>
    <definedName name="Titre7" localSheetId="13">#REF!</definedName>
    <definedName name="Titre7" localSheetId="1">#REF!</definedName>
    <definedName name="Titre7" localSheetId="7">#REF!</definedName>
    <definedName name="Titre7" localSheetId="6">#REF!</definedName>
    <definedName name="Titre7" localSheetId="5">#REF!</definedName>
    <definedName name="Titre7" localSheetId="3">#REF!</definedName>
    <definedName name="Titre7" localSheetId="11">#REF!</definedName>
    <definedName name="Titre7" localSheetId="10">#REF!</definedName>
    <definedName name="Titre7" localSheetId="9">#REF!</definedName>
    <definedName name="Titre7">#REF!</definedName>
    <definedName name="Titre8" localSheetId="8">#REF!</definedName>
    <definedName name="Titre8" localSheetId="4">#REF!</definedName>
    <definedName name="Titre8" localSheetId="12">#REF!</definedName>
    <definedName name="Titre8" localSheetId="2">#REF!</definedName>
    <definedName name="Titre8" localSheetId="13">#REF!</definedName>
    <definedName name="Titre8" localSheetId="1">#REF!</definedName>
    <definedName name="Titre8" localSheetId="7">#REF!</definedName>
    <definedName name="Titre8" localSheetId="6">#REF!</definedName>
    <definedName name="Titre8" localSheetId="5">#REF!</definedName>
    <definedName name="Titre8" localSheetId="3">#REF!</definedName>
    <definedName name="Titre8" localSheetId="11">#REF!</definedName>
    <definedName name="Titre8" localSheetId="10">#REF!</definedName>
    <definedName name="Titre8" localSheetId="9">#REF!</definedName>
    <definedName name="Titre8">#REF!</definedName>
    <definedName name="Titre9" localSheetId="8">#REF!</definedName>
    <definedName name="Titre9" localSheetId="4">#REF!</definedName>
    <definedName name="Titre9" localSheetId="12">#REF!</definedName>
    <definedName name="Titre9" localSheetId="2">#REF!</definedName>
    <definedName name="Titre9" localSheetId="13">#REF!</definedName>
    <definedName name="Titre9" localSheetId="1">#REF!</definedName>
    <definedName name="Titre9" localSheetId="7">#REF!</definedName>
    <definedName name="Titre9" localSheetId="6">#REF!</definedName>
    <definedName name="Titre9" localSheetId="5">#REF!</definedName>
    <definedName name="Titre9" localSheetId="3">#REF!</definedName>
    <definedName name="Titre9" localSheetId="11">#REF!</definedName>
    <definedName name="Titre9" localSheetId="10">#REF!</definedName>
    <definedName name="Titre9" localSheetId="9">#REF!</definedName>
    <definedName name="Titre9">#REF!</definedName>
    <definedName name="TitreColonne13" localSheetId="13">#REF!</definedName>
    <definedName name="TitreColonne13">#REF!</definedName>
  </definedNames>
  <calcPr calcId="179021"/>
</workbook>
</file>

<file path=xl/calcChain.xml><?xml version="1.0" encoding="utf-8"?>
<calcChain xmlns="http://schemas.openxmlformats.org/spreadsheetml/2006/main">
  <c r="AG11" i="42" l="1"/>
  <c r="AF11" i="42"/>
  <c r="AE11" i="42"/>
  <c r="AD11" i="42"/>
  <c r="AC11" i="42"/>
  <c r="AB11" i="42"/>
  <c r="AA11" i="42"/>
  <c r="Z11" i="42"/>
  <c r="Y11" i="42"/>
  <c r="X11" i="42"/>
  <c r="W11" i="42"/>
  <c r="V11" i="42"/>
  <c r="U11" i="42"/>
  <c r="T11" i="42"/>
  <c r="S11" i="42"/>
  <c r="R11" i="42"/>
  <c r="Q11" i="42"/>
  <c r="P11" i="42"/>
  <c r="O11" i="42"/>
  <c r="N11" i="42"/>
  <c r="M11" i="42"/>
  <c r="L11" i="42"/>
  <c r="K11" i="42"/>
  <c r="J11" i="42"/>
  <c r="I11" i="42"/>
  <c r="H11" i="42"/>
  <c r="G11" i="42"/>
  <c r="F11" i="42"/>
  <c r="E11" i="42"/>
  <c r="D11" i="42"/>
  <c r="C11" i="42"/>
  <c r="AJ10" i="42"/>
  <c r="AH10" i="42"/>
  <c r="AH9" i="42"/>
  <c r="AH11" i="42" s="1"/>
  <c r="AJ8" i="42"/>
  <c r="AJ7" i="42"/>
  <c r="AJ9" i="42" l="1"/>
  <c r="AI7" i="37"/>
  <c r="C20" i="31" l="1"/>
  <c r="C14" i="31"/>
  <c r="AJ9" i="31" l="1"/>
  <c r="B25" i="30" l="1"/>
  <c r="C14" i="30" l="1"/>
  <c r="B24" i="29" l="1"/>
  <c r="C14" i="29"/>
  <c r="B22" i="15" l="1"/>
  <c r="B23" i="15" s="1"/>
  <c r="C13" i="15" l="1"/>
  <c r="C11" i="15" l="1"/>
  <c r="D11" i="15"/>
  <c r="E11" i="15"/>
  <c r="F11" i="15"/>
  <c r="G11" i="15"/>
  <c r="H11" i="15"/>
  <c r="I11" i="15"/>
  <c r="J11" i="15"/>
  <c r="K11" i="15"/>
  <c r="L11" i="15"/>
  <c r="M11" i="15"/>
  <c r="N11" i="15"/>
  <c r="O11" i="15"/>
  <c r="P11" i="15"/>
  <c r="Q11" i="15"/>
  <c r="R11" i="15"/>
  <c r="S11" i="15"/>
  <c r="T11" i="15"/>
  <c r="U11" i="15"/>
  <c r="V11" i="15"/>
  <c r="W11" i="15"/>
  <c r="X11" i="15"/>
  <c r="Y11" i="15"/>
  <c r="Z11" i="15"/>
  <c r="AA11" i="15"/>
  <c r="AB11" i="15"/>
  <c r="AC11" i="15"/>
  <c r="AD11" i="15"/>
  <c r="AE11" i="15"/>
  <c r="AF11" i="15"/>
  <c r="AG11" i="15"/>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AJ10" i="40"/>
  <c r="AH10" i="40"/>
  <c r="AH9" i="40"/>
  <c r="AH11" i="40" s="1"/>
  <c r="AJ8" i="40"/>
  <c r="AJ7" i="40"/>
  <c r="AF11" i="39"/>
  <c r="AE11" i="39"/>
  <c r="AD11" i="39"/>
  <c r="AC11" i="39"/>
  <c r="AB11" i="39"/>
  <c r="AA11" i="39"/>
  <c r="Z11" i="39"/>
  <c r="Y11" i="39"/>
  <c r="X11" i="39"/>
  <c r="W11" i="39"/>
  <c r="V11" i="39"/>
  <c r="U11" i="39"/>
  <c r="T11" i="39"/>
  <c r="S11" i="39"/>
  <c r="R11" i="39"/>
  <c r="Q11" i="39"/>
  <c r="P11" i="39"/>
  <c r="O11" i="39"/>
  <c r="N11" i="39"/>
  <c r="M11" i="39"/>
  <c r="L11" i="39"/>
  <c r="K11" i="39"/>
  <c r="J11" i="39"/>
  <c r="I11" i="39"/>
  <c r="H11" i="39"/>
  <c r="G11" i="39"/>
  <c r="F11" i="39"/>
  <c r="E11" i="39"/>
  <c r="D11" i="39"/>
  <c r="C11" i="39"/>
  <c r="AI10" i="39"/>
  <c r="AG11" i="39"/>
  <c r="AI8" i="39"/>
  <c r="AI7" i="39"/>
  <c r="AG11" i="38"/>
  <c r="AF11" i="38"/>
  <c r="AE11" i="38"/>
  <c r="AD11" i="38"/>
  <c r="AC11" i="38"/>
  <c r="AB11" i="38"/>
  <c r="AA11" i="38"/>
  <c r="Z11" i="38"/>
  <c r="Y11" i="38"/>
  <c r="X11" i="38"/>
  <c r="W11" i="38"/>
  <c r="V11" i="38"/>
  <c r="U11" i="38"/>
  <c r="T11" i="38"/>
  <c r="S11" i="38"/>
  <c r="R11" i="38"/>
  <c r="Q11" i="38"/>
  <c r="P11" i="38"/>
  <c r="O11" i="38"/>
  <c r="N11" i="38"/>
  <c r="M11" i="38"/>
  <c r="L11" i="38"/>
  <c r="K11" i="38"/>
  <c r="J11" i="38"/>
  <c r="I11" i="38"/>
  <c r="H11" i="38"/>
  <c r="G11" i="38"/>
  <c r="F11" i="38"/>
  <c r="E11" i="38"/>
  <c r="D11" i="38"/>
  <c r="C11" i="38"/>
  <c r="AJ10" i="38"/>
  <c r="AH10" i="38"/>
  <c r="AH9" i="38"/>
  <c r="AH11" i="38" s="1"/>
  <c r="AJ8" i="38"/>
  <c r="AJ7" i="38"/>
  <c r="AF11" i="37"/>
  <c r="AE11" i="37"/>
  <c r="AD11" i="37"/>
  <c r="AC11" i="37"/>
  <c r="AB11" i="37"/>
  <c r="AA11" i="37"/>
  <c r="Z11" i="37"/>
  <c r="Y11" i="37"/>
  <c r="X11" i="37"/>
  <c r="W11" i="37"/>
  <c r="V11" i="37"/>
  <c r="U11" i="37"/>
  <c r="T11" i="37"/>
  <c r="S11" i="37"/>
  <c r="R11" i="37"/>
  <c r="Q11" i="37"/>
  <c r="P11" i="37"/>
  <c r="O11" i="37"/>
  <c r="N11" i="37"/>
  <c r="M11" i="37"/>
  <c r="L11" i="37"/>
  <c r="K11" i="37"/>
  <c r="J11" i="37"/>
  <c r="I11" i="37"/>
  <c r="H11" i="37"/>
  <c r="G11" i="37"/>
  <c r="F11" i="37"/>
  <c r="E11" i="37"/>
  <c r="D11" i="37"/>
  <c r="C11" i="37"/>
  <c r="AI10" i="37"/>
  <c r="AG11" i="37"/>
  <c r="AI8" i="37"/>
  <c r="AG11" i="36"/>
  <c r="AF11" i="36"/>
  <c r="AE11" i="36"/>
  <c r="AD11" i="36"/>
  <c r="AC11" i="36"/>
  <c r="AB11" i="36"/>
  <c r="AA11" i="36"/>
  <c r="Z11" i="36"/>
  <c r="Y11" i="36"/>
  <c r="X11" i="36"/>
  <c r="W11" i="36"/>
  <c r="V11" i="36"/>
  <c r="U11" i="36"/>
  <c r="T11" i="36"/>
  <c r="S11" i="36"/>
  <c r="R11" i="36"/>
  <c r="Q11" i="36"/>
  <c r="P11" i="36"/>
  <c r="O11" i="36"/>
  <c r="N11" i="36"/>
  <c r="M11" i="36"/>
  <c r="L11" i="36"/>
  <c r="K11" i="36"/>
  <c r="J11" i="36"/>
  <c r="I11" i="36"/>
  <c r="H11" i="36"/>
  <c r="G11" i="36"/>
  <c r="F11" i="36"/>
  <c r="E11" i="36"/>
  <c r="D11" i="36"/>
  <c r="C11" i="36"/>
  <c r="AH10" i="36"/>
  <c r="AJ10" i="36" s="1"/>
  <c r="AH9" i="36"/>
  <c r="AH11" i="36" s="1"/>
  <c r="AJ8" i="36"/>
  <c r="AJ7" i="36"/>
  <c r="AG11" i="35"/>
  <c r="AF11" i="35"/>
  <c r="AE11" i="35"/>
  <c r="AD11" i="35"/>
  <c r="AC11" i="35"/>
  <c r="AB11" i="35"/>
  <c r="AA11" i="35"/>
  <c r="Z11" i="35"/>
  <c r="Y11" i="35"/>
  <c r="X11" i="35"/>
  <c r="W11" i="35"/>
  <c r="V11" i="35"/>
  <c r="U11" i="35"/>
  <c r="T11" i="35"/>
  <c r="S11" i="35"/>
  <c r="R11" i="35"/>
  <c r="Q11" i="35"/>
  <c r="P11" i="35"/>
  <c r="O11" i="35"/>
  <c r="N11" i="35"/>
  <c r="M11" i="35"/>
  <c r="L11" i="35"/>
  <c r="K11" i="35"/>
  <c r="J11" i="35"/>
  <c r="I11" i="35"/>
  <c r="H11" i="35"/>
  <c r="G11" i="35"/>
  <c r="F11" i="35"/>
  <c r="E11" i="35"/>
  <c r="D11" i="35"/>
  <c r="C11" i="35"/>
  <c r="AH10" i="35"/>
  <c r="AJ10" i="35" s="1"/>
  <c r="AH9" i="35"/>
  <c r="AH11" i="35" s="1"/>
  <c r="AJ7" i="35"/>
  <c r="AF11" i="34"/>
  <c r="AE11" i="34"/>
  <c r="AD11" i="34"/>
  <c r="AC11" i="34"/>
  <c r="AB11" i="34"/>
  <c r="AA11" i="34"/>
  <c r="Z11" i="34"/>
  <c r="Y11" i="34"/>
  <c r="X11" i="34"/>
  <c r="W11" i="34"/>
  <c r="V11" i="34"/>
  <c r="U11" i="34"/>
  <c r="T11" i="34"/>
  <c r="S11" i="34"/>
  <c r="R11" i="34"/>
  <c r="Q11" i="34"/>
  <c r="P11" i="34"/>
  <c r="O11" i="34"/>
  <c r="N11" i="34"/>
  <c r="M11" i="34"/>
  <c r="L11" i="34"/>
  <c r="K11" i="34"/>
  <c r="J11" i="34"/>
  <c r="I11" i="34"/>
  <c r="H11" i="34"/>
  <c r="G11" i="34"/>
  <c r="F11" i="34"/>
  <c r="E11" i="34"/>
  <c r="D11" i="34"/>
  <c r="C11" i="34"/>
  <c r="AI10" i="34"/>
  <c r="AG11" i="34"/>
  <c r="AI8" i="34"/>
  <c r="AI7" i="34"/>
  <c r="AG11" i="33"/>
  <c r="AF11" i="33"/>
  <c r="AE11" i="33"/>
  <c r="AD11" i="33"/>
  <c r="AC11" i="33"/>
  <c r="AB11" i="33"/>
  <c r="AA11" i="33"/>
  <c r="Z11" i="33"/>
  <c r="Y11" i="33"/>
  <c r="X11" i="33"/>
  <c r="W11" i="33"/>
  <c r="V11" i="33"/>
  <c r="U11" i="33"/>
  <c r="T11" i="33"/>
  <c r="S11" i="33"/>
  <c r="R11" i="33"/>
  <c r="Q11" i="33"/>
  <c r="P11" i="33"/>
  <c r="O11" i="33"/>
  <c r="N11" i="33"/>
  <c r="M11" i="33"/>
  <c r="L11" i="33"/>
  <c r="K11" i="33"/>
  <c r="J11" i="33"/>
  <c r="I11" i="33"/>
  <c r="H11" i="33"/>
  <c r="G11" i="33"/>
  <c r="F11" i="33"/>
  <c r="E11" i="33"/>
  <c r="D11" i="33"/>
  <c r="C11" i="33"/>
  <c r="AH10" i="33"/>
  <c r="AJ10" i="33" s="1"/>
  <c r="AH9" i="33"/>
  <c r="AH11" i="33" s="1"/>
  <c r="AJ8" i="33"/>
  <c r="AJ7" i="33"/>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F11" i="32"/>
  <c r="E11" i="32"/>
  <c r="D11" i="32"/>
  <c r="C11" i="32"/>
  <c r="AI10" i="32"/>
  <c r="AG11" i="32"/>
  <c r="AI8" i="32"/>
  <c r="AI7" i="32"/>
  <c r="AG11" i="31"/>
  <c r="AF11" i="31"/>
  <c r="AE11" i="31"/>
  <c r="AD11" i="31"/>
  <c r="AC11" i="31"/>
  <c r="AB11"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AH10" i="31"/>
  <c r="AJ10" i="31" s="1"/>
  <c r="AJ8" i="31"/>
  <c r="AJ7" i="31"/>
  <c r="AE11" i="30"/>
  <c r="AD11" i="30"/>
  <c r="AC11" i="30"/>
  <c r="AB11"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AH10" i="30"/>
  <c r="AF11" i="30"/>
  <c r="AH8" i="30"/>
  <c r="AH7" i="30"/>
  <c r="AG11" i="29"/>
  <c r="AF11" i="29"/>
  <c r="AE11" i="29"/>
  <c r="AD11" i="29"/>
  <c r="AC11" i="29"/>
  <c r="AB11"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AH10" i="29"/>
  <c r="AJ10" i="29" s="1"/>
  <c r="AH9" i="29"/>
  <c r="AJ8" i="15"/>
  <c r="AJ7" i="15"/>
  <c r="AH11" i="31" l="1"/>
  <c r="AJ9" i="29"/>
  <c r="AJ11" i="29" s="1"/>
  <c r="B21" i="29" s="1"/>
  <c r="AH11" i="29"/>
  <c r="AJ9" i="40"/>
  <c r="AI9" i="39"/>
  <c r="AJ9" i="38"/>
  <c r="AI9" i="37"/>
  <c r="AJ9" i="36"/>
  <c r="AJ9" i="35"/>
  <c r="AI9" i="34"/>
  <c r="AJ9" i="33"/>
  <c r="AI9" i="32"/>
  <c r="AH9" i="30"/>
  <c r="AH9" i="15" l="1"/>
  <c r="AJ9" i="15" s="1"/>
  <c r="AH10" i="15"/>
  <c r="AJ10" i="15" s="1"/>
  <c r="AH11" i="15" l="1"/>
</calcChain>
</file>

<file path=xl/sharedStrings.xml><?xml version="1.0" encoding="utf-8"?>
<sst xmlns="http://schemas.openxmlformats.org/spreadsheetml/2006/main" count="1128" uniqueCount="120">
  <si>
    <t>Janvier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</si>
  <si>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</si>
  <si>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</si>
  <si>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</si>
  <si>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</si>
  <si>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</si>
  <si>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</si>
  <si>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</si>
  <si>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</si>
  <si>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</si>
  <si>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</si>
  <si>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</si>
  <si>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</si>
  <si>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</si>
  <si>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</si>
  <si>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</si>
  <si>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</si>
  <si>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</si>
  <si>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</si>
  <si>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</si>
  <si>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</si>
  <si>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</si>
  <si>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</si>
  <si>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</si>
  <si>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</si>
  <si>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</si>
  <si>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</si>
  <si>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</si>
  <si>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</si>
  <si>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</si>
  <si>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</si>
  <si>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</si>
  <si>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Février</t>
  </si>
  <si>
    <t>Mars</t>
  </si>
  <si>
    <t>Avril</t>
  </si>
  <si>
    <t>Mai</t>
  </si>
  <si>
    <t>Juin</t>
  </si>
  <si>
    <t>Juillet</t>
  </si>
  <si>
    <t>Août</t>
  </si>
  <si>
    <t>Septembre</t>
  </si>
  <si>
    <t>Octobre</t>
  </si>
  <si>
    <t>Novembre</t>
  </si>
  <si>
    <t>Décembre</t>
  </si>
  <si>
    <t>R</t>
  </si>
  <si>
    <t>Réservé</t>
  </si>
  <si>
    <t>Réservations</t>
  </si>
  <si>
    <t>Nom des locataires</t>
  </si>
  <si>
    <t>Mme SEGA</t>
  </si>
  <si>
    <t>Mme PAYET</t>
  </si>
  <si>
    <t>Locataire</t>
  </si>
  <si>
    <t>mer</t>
  </si>
  <si>
    <t>jeu.</t>
  </si>
  <si>
    <t>ven.</t>
  </si>
  <si>
    <t>sam.</t>
  </si>
  <si>
    <t>dim.</t>
  </si>
  <si>
    <t>lun.</t>
  </si>
  <si>
    <t>mar.</t>
  </si>
  <si>
    <t>mer.</t>
  </si>
  <si>
    <t xml:space="preserve">Total </t>
  </si>
  <si>
    <t>Acompte</t>
  </si>
  <si>
    <t>Chèque de caution (CDC)</t>
  </si>
  <si>
    <t>CDC</t>
  </si>
  <si>
    <t>Commentaire</t>
  </si>
  <si>
    <t xml:space="preserve">Reste dû </t>
  </si>
  <si>
    <t>espèce</t>
  </si>
  <si>
    <t>Planning de réservation</t>
  </si>
  <si>
    <t>dim</t>
  </si>
  <si>
    <t>sam</t>
  </si>
  <si>
    <t>ven</t>
  </si>
  <si>
    <t>lun</t>
  </si>
  <si>
    <t>mar</t>
  </si>
  <si>
    <t>jeu</t>
  </si>
  <si>
    <t>Dany PASSAVANT</t>
  </si>
  <si>
    <t>Mme PAYET / 06 25 19 75 99</t>
  </si>
  <si>
    <t>Mme SEGA/ 06 81 25 35 08</t>
  </si>
  <si>
    <t>Mme PAYET/ 06 25 19 75 99
payet5marie-noe@orange.fr</t>
  </si>
  <si>
    <t>Pour les parents</t>
  </si>
  <si>
    <t>CF. décembre 2019</t>
  </si>
  <si>
    <t>avt locataire Mme Payet (25/12/19)</t>
  </si>
  <si>
    <t>M DECKER (06 89 77 07 51)
thierry.decker@aftral.com</t>
  </si>
  <si>
    <t>M DECKER</t>
  </si>
  <si>
    <t>Dany</t>
  </si>
  <si>
    <t>1 Locataire de janvier (M. Decker)</t>
  </si>
  <si>
    <t>Total "reste dû" mois en cours</t>
  </si>
  <si>
    <t>SIMONNET 06 90 62 69 28
jyaimess971@gmail.com</t>
  </si>
  <si>
    <t>Virginie COENT (géré par mes parents)</t>
  </si>
  <si>
    <t>Perçu par les parents en direct</t>
  </si>
  <si>
    <t>Réservation annulée Mme Caron : remboursement 150 euros</t>
  </si>
  <si>
    <t xml:space="preserve">Total : </t>
  </si>
  <si>
    <t>ok</t>
  </si>
  <si>
    <t>Emilien TRESCARTES / 06 32 74 78 59
emilientrescartes@gmail.com</t>
  </si>
  <si>
    <t>Lina/ AirBNB</t>
  </si>
  <si>
    <t>200 € - 60 €</t>
  </si>
  <si>
    <t>Mme Payet (du 25 au 31/12/ 2019) :</t>
  </si>
  <si>
    <t>gérés par Parents</t>
  </si>
  <si>
    <t>Lina</t>
  </si>
  <si>
    <t xml:space="preserve">60 euros ok pour Dany fait février </t>
  </si>
  <si>
    <t xml:space="preserve"> Récupéré avant les fêtes de fin d'année (avant le 25/12 , arrivée famille de Mme Payet)</t>
  </si>
  <si>
    <t xml:space="preserve">Air bnb </t>
  </si>
  <si>
    <t>cf. janvier 2020 (famille Mme Payet du 25 au 31/12/ 2019)</t>
  </si>
  <si>
    <t>Mme Payet (du 08 au 15/02/2020)</t>
  </si>
  <si>
    <t>Remis à Dany</t>
  </si>
  <si>
    <t>Air bnb</t>
  </si>
  <si>
    <t>Dany envoie 2 chèques de caution de 200 euros à Dany : aux parents / parents envoient 1 chèque de 150 euros (120 + jeu de draps)</t>
  </si>
  <si>
    <t>Lina (air bnb)</t>
  </si>
  <si>
    <t xml:space="preserve">Mr Simmonet </t>
  </si>
  <si>
    <t>Faiza</t>
  </si>
  <si>
    <t>60€ pr Dany</t>
  </si>
  <si>
    <t>TRESCARTES</t>
  </si>
  <si>
    <r>
      <t xml:space="preserve">Mme CARON / </t>
    </r>
    <r>
      <rPr>
        <sz val="11"/>
        <color rgb="FFFF0000"/>
        <rFont val="Calibri (Corps)_x0000_"/>
      </rPr>
      <t>annulé</t>
    </r>
  </si>
  <si>
    <t>Reporté en septembre</t>
  </si>
  <si>
    <t>TECHER Luciane</t>
  </si>
  <si>
    <t>LILI (leboncoin)</t>
  </si>
  <si>
    <t>OK</t>
  </si>
  <si>
    <t xml:space="preserve">196€ + 90€ pr 2 nuits sup. </t>
  </si>
  <si>
    <t>neveu Mme Payet</t>
  </si>
  <si>
    <t>Attente acompte</t>
  </si>
  <si>
    <t>Location de Faïza reportée</t>
  </si>
  <si>
    <t>Franco</t>
  </si>
  <si>
    <t>AIR BNB 423,1 + 30 pr ménage à confirmer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</si>
</sst>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0\ &quot;€&quot;_);[Red]\(#,##0\ &quot;€&quot;\)"/>
    <numFmt numFmtId="164" formatCode="_(* #,##0_);_(* \(#,##0\);_(* &quot;-&quot;_);_(@_)"/>
    <numFmt numFmtId="165" formatCode="_(* #,##0.00_);_(* \(#,##0.00\);_(* &quot;-&quot;??_);_(@_)"/>
    <numFmt numFmtId="166" formatCode="_-* #,##0\ &quot;€&quot;_-;\-* #,##0\ &quot;€&quot;_-;_-* &quot;-&quot;\ &quot;€&quot;_-;_-@_-"/>
    <numFmt numFmtId="167" formatCode="_-* #,##0.00\ &quot;€&quot;_-;\-* #,##0.00\ &quot;€&quot;_-;_-* &quot;-&quot;??\ &quot;€&quot;_-;_-@_-"/>
    <numFmt numFmtId="168" formatCode="0;0;"/>
    <numFmt numFmtId="169" formatCode="#,##0\ _€"/>
    <numFmt numFmtId="170" formatCode="#,##0\ &quot;€&quot;"/>
  </numFmts>
  <fonts count="2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1" tint="4.9989318521683403E-2"/>
      <name val="Calibri"/>
      <family val="2"/>
      <scheme val="minor"/>
    </font>
    <font>
      <b/>
      <sz val="11"/>
      <color theme="1" tint="4.9989318521683403E-2"/>
      <name val="Calibri"/>
      <family val="2"/>
      <scheme val="minor"/>
    </font>
    <font>
      <sz val="11"/>
      <color rgb="FF0070C0"/>
      <name val="Calibri"/>
      <family val="2"/>
      <scheme val="minor"/>
    </font>
    <font>
      <sz val="11"/>
      <color rgb="FF000000"/>
      <name val="Calibri"/>
      <family val="2"/>
      <scheme val="minor"/>
    </font>
    <font>
      <sz val="11"/>
      <color rgb="FFFF0000"/>
      <name val="Calibri (Corps)_x0000_"/>
    </font>
  </fonts>
  <fills count="42">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theme="6" tint="0.79998168889431442"/>
        <bgColor indexed="64"/>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0" tint="-0.14996795556505021"/>
      </top>
      <bottom style="thin">
        <color theme="0" tint="-0.14993743705557422"/>
      </bottom>
      <diagonal/>
    </border>
    <border>
      <left/>
      <right/>
      <top style="thin">
        <color theme="2" tint="-9.9917600024414813E-2"/>
      </top>
      <bottom style="thin">
        <color theme="2" tint="-9.9917600024414813E-2"/>
      </bottom>
      <diagonal/>
    </border>
    <border>
      <left/>
      <right/>
      <top style="thin">
        <color rgb="FFDEE0C9"/>
      </top>
      <bottom style="thin">
        <color rgb="FFDEE0C9"/>
      </bottom>
      <diagonal/>
    </border>
    <border>
      <left/>
      <right/>
      <top/>
      <bottom style="thin">
        <color rgb="FFDEE0C9"/>
      </bottom>
      <diagonal/>
    </border>
  </borders>
  <cellStyleXfs count="49">
    <xf numFmtId="0" fontId="0" fillId="0" borderId="0">
      <alignment horizontal="left" vertical="center"/>
    </xf>
    <xf numFmtId="0" fontId="6" fillId="0" borderId="0" applyNumberFormat="0" applyFill="0" applyBorder="0" applyProtection="0">
      <alignment vertical="top"/>
    </xf>
    <xf numFmtId="0" fontId="4" fillId="0" borderId="0" applyNumberFormat="0" applyFill="0" applyBorder="0" applyProtection="0">
      <alignment vertical="top"/>
    </xf>
    <xf numFmtId="0" fontId="5" fillId="2" borderId="0" applyNumberFormat="0" applyBorder="0" applyProtection="0">
      <alignment horizontal="center" vertical="center"/>
    </xf>
    <xf numFmtId="0" fontId="2" fillId="20" borderId="0" applyNumberFormat="0" applyProtection="0">
      <alignment horizontal="right" vertical="center" indent="1"/>
    </xf>
    <xf numFmtId="0" fontId="1" fillId="0" borderId="0" applyNumberFormat="0" applyFill="0" applyBorder="0" applyProtection="0">
      <alignment horizontal="left" vertical="center" indent="2"/>
    </xf>
    <xf numFmtId="0" fontId="3"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3"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3"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2" fillId="10" borderId="0" applyNumberFormat="0" applyBorder="0" applyAlignment="0" applyProtection="0"/>
    <xf numFmtId="0" fontId="3"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7" fillId="0" borderId="0">
      <alignment horizontal="center"/>
    </xf>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8"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1" fillId="24" borderId="1" applyNumberFormat="0" applyAlignment="0" applyProtection="0"/>
    <xf numFmtId="0" fontId="12" fillId="25" borderId="2" applyNumberFormat="0" applyAlignment="0" applyProtection="0"/>
    <xf numFmtId="0" fontId="13" fillId="25" borderId="1" applyNumberFormat="0" applyAlignment="0" applyProtection="0"/>
    <xf numFmtId="0" fontId="14" fillId="0" borderId="3" applyNumberFormat="0" applyFill="0" applyAlignment="0" applyProtection="0"/>
    <xf numFmtId="0" fontId="15" fillId="26" borderId="4" applyNumberFormat="0" applyAlignment="0" applyProtection="0"/>
    <xf numFmtId="0" fontId="16" fillId="0" borderId="0" applyNumberFormat="0" applyFill="0" applyBorder="0" applyAlignment="0" applyProtection="0"/>
    <xf numFmtId="0" fontId="1" fillId="27" borderId="5" applyNumberFormat="0" applyFont="0" applyAlignment="0" applyProtection="0"/>
    <xf numFmtId="0" fontId="17" fillId="0" borderId="0" applyNumberFormat="0" applyFill="0" applyBorder="0" applyAlignment="0" applyProtection="0"/>
    <xf numFmtId="0" fontId="1" fillId="28" borderId="0" applyNumberFormat="0" applyBorder="0" applyAlignment="0" applyProtection="0"/>
    <xf numFmtId="0" fontId="1" fillId="29" borderId="0" applyNumberFormat="0" applyBorder="0" applyAlignment="0" applyProtection="0"/>
    <xf numFmtId="0" fontId="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5">
    <xf numFmtId="0" fontId="0" fillId="0" borderId="0" xfId="0">
      <alignment horizontal="left" vertical="center"/>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Font="1" applyAlignment="1" applyProtection="1">
      <alignment horizontal="center" vertical="center"/>
    </xf>
    <xf numFmtId="1" fontId="1" fillId="0" borderId="0" xfId="25" applyFill="1" applyBorder="1" applyProtection="1">
      <alignment horizontal="center" vertical="center"/>
    </xf>
    <xf numFmtId="0" fontId="0" fillId="0" borderId="0" xfId="0" applyProtection="1">
      <alignment horizontal="left" vertical="center"/>
    </xf>
    <xf numFmtId="0" fontId="5" fillId="2" borderId="0" xfId="3" applyProtection="1">
      <alignment horizontal="center" vertical="center"/>
    </xf>
    <xf numFmtId="168" fontId="0" fillId="0" borderId="0" xfId="0" applyNumberFormat="1" applyFont="1" applyFill="1" applyBorder="1" applyAlignment="1" applyProtection="1">
      <alignment horizontal="center" vertical="center"/>
    </xf>
    <xf numFmtId="0" fontId="6" fillId="0" borderId="0" xfId="1" applyAlignment="1" applyProtection="1">
      <alignment vertical="top"/>
    </xf>
    <xf numFmtId="0" fontId="0" fillId="0" borderId="0" xfId="21" applyFont="1" applyFill="1" applyBorder="1" applyAlignment="1" applyProtection="1">
      <alignment horizontal="center" vertical="center"/>
    </xf>
    <xf numFmtId="0" fontId="0" fillId="0" borderId="0" xfId="0" applyFont="1" applyFill="1" applyBorder="1" applyAlignment="1" applyProtection="1">
      <alignment horizontal="left" vertical="center" indent="1"/>
    </xf>
    <xf numFmtId="0" fontId="5" fillId="2" borderId="0" xfId="3" applyProtection="1">
      <alignment horizontal="center" vertical="center"/>
    </xf>
    <xf numFmtId="0" fontId="2" fillId="0" borderId="0" xfId="4" applyFill="1" applyProtection="1">
      <alignment horizontal="right" vertical="center" indent="1"/>
    </xf>
    <xf numFmtId="168" fontId="2" fillId="0" borderId="0" xfId="24" applyNumberFormat="1" applyFont="1" applyFill="1" applyAlignment="1" applyProtection="1">
      <alignment horizontal="center" vertical="center"/>
    </xf>
    <xf numFmtId="0" fontId="0" fillId="2" borderId="0" xfId="21" applyFont="1" applyBorder="1" applyAlignment="1" applyProtection="1">
      <alignment horizontal="left" vertical="center" indent="1"/>
    </xf>
    <xf numFmtId="0" fontId="0" fillId="0" borderId="0" xfId="26" applyFont="1" applyFill="1" applyBorder="1" applyProtection="1">
      <alignment horizontal="left" vertical="center" wrapText="1" indent="2"/>
    </xf>
    <xf numFmtId="0" fontId="0" fillId="33" borderId="0" xfId="0" applyFont="1" applyFill="1" applyBorder="1" applyAlignment="1" applyProtection="1">
      <alignment horizontal="center" vertical="center"/>
    </xf>
    <xf numFmtId="0" fontId="18" fillId="35" borderId="0" xfId="0" applyFont="1" applyFill="1" applyAlignment="1" applyProtection="1">
      <alignment horizontal="center" vertical="center"/>
    </xf>
    <xf numFmtId="6" fontId="0" fillId="34" borderId="0" xfId="0" applyNumberFormat="1" applyFill="1" applyBorder="1" applyAlignment="1" applyProtection="1">
      <alignment horizontal="center" vertical="center"/>
    </xf>
    <xf numFmtId="0" fontId="0" fillId="34" borderId="0" xfId="0" applyFill="1" applyBorder="1" applyAlignment="1" applyProtection="1">
      <alignment horizontal="center" vertical="center"/>
    </xf>
    <xf numFmtId="0" fontId="0" fillId="34" borderId="0" xfId="0" applyFont="1" applyFill="1" applyBorder="1" applyAlignment="1" applyProtection="1">
      <alignment horizontal="center" vertical="center"/>
    </xf>
    <xf numFmtId="0" fontId="18" fillId="36" borderId="0" xfId="0" applyFont="1" applyFill="1" applyAlignment="1" applyProtection="1">
      <alignment horizontal="center" vertical="center"/>
    </xf>
    <xf numFmtId="0" fontId="0" fillId="37" borderId="0" xfId="0" applyFill="1" applyAlignment="1" applyProtection="1">
      <alignment horizontal="center" vertical="center"/>
    </xf>
    <xf numFmtId="0" fontId="19" fillId="17" borderId="0" xfId="0" applyFont="1" applyFill="1" applyAlignment="1" applyProtection="1">
      <alignment horizontal="center" vertical="center"/>
    </xf>
    <xf numFmtId="6" fontId="2" fillId="17" borderId="0" xfId="0" applyNumberFormat="1" applyFont="1" applyFill="1" applyBorder="1" applyAlignment="1" applyProtection="1">
      <alignment horizontal="center" vertical="center"/>
    </xf>
    <xf numFmtId="0" fontId="0" fillId="0" borderId="7" xfId="26" applyFont="1" applyFill="1" applyBorder="1" applyAlignment="1">
      <alignment horizontal="left" vertical="center" wrapText="1" indent="2"/>
    </xf>
    <xf numFmtId="6" fontId="0" fillId="0" borderId="0" xfId="0" applyNumberFormat="1" applyProtection="1">
      <alignment horizontal="left" vertical="center"/>
    </xf>
    <xf numFmtId="0" fontId="2" fillId="38" borderId="6" xfId="21" applyFont="1" applyFill="1" applyBorder="1" applyAlignment="1">
      <alignment horizontal="left" vertical="center" indent="1"/>
    </xf>
    <xf numFmtId="0" fontId="0" fillId="39" borderId="0" xfId="26" applyFont="1" applyFill="1" applyBorder="1" applyAlignment="1">
      <alignment vertical="center" wrapText="1"/>
    </xf>
    <xf numFmtId="6" fontId="0" fillId="39" borderId="0" xfId="0" applyNumberFormat="1" applyFill="1" applyProtection="1">
      <alignment horizontal="left" vertical="center"/>
    </xf>
    <xf numFmtId="1" fontId="1" fillId="40" borderId="0" xfId="25" applyFill="1" applyBorder="1" applyProtection="1">
      <alignment horizontal="center" vertical="center"/>
    </xf>
    <xf numFmtId="168" fontId="0" fillId="40" borderId="0" xfId="0" applyNumberFormat="1" applyFont="1" applyFill="1" applyBorder="1" applyAlignment="1" applyProtection="1">
      <alignment horizontal="center" vertical="center"/>
    </xf>
    <xf numFmtId="170" fontId="2" fillId="40" borderId="0" xfId="25" applyNumberFormat="1" applyFont="1" applyFill="1" applyBorder="1" applyProtection="1">
      <alignment horizontal="center" vertical="center"/>
    </xf>
    <xf numFmtId="170" fontId="2" fillId="40" borderId="0" xfId="0" applyNumberFormat="1" applyFont="1" applyFill="1" applyBorder="1" applyAlignment="1" applyProtection="1">
      <alignment horizontal="center" vertical="center"/>
    </xf>
    <xf numFmtId="6" fontId="2" fillId="38" borderId="0" xfId="0" applyNumberFormat="1" applyFont="1" applyFill="1" applyAlignment="1" applyProtection="1">
      <alignment vertical="center"/>
    </xf>
    <xf numFmtId="169" fontId="0" fillId="0" borderId="0" xfId="0" applyNumberFormat="1" applyProtection="1">
      <alignment horizontal="left" vertical="center"/>
    </xf>
    <xf numFmtId="170" fontId="2" fillId="39" borderId="0" xfId="0" applyNumberFormat="1" applyFont="1" applyFill="1" applyAlignment="1" applyProtection="1">
      <alignment horizontal="center" vertical="center"/>
    </xf>
    <xf numFmtId="0" fontId="2" fillId="39" borderId="0" xfId="26" applyFont="1" applyFill="1" applyBorder="1" applyAlignment="1">
      <alignment vertical="center" wrapText="1"/>
    </xf>
    <xf numFmtId="170" fontId="0" fillId="40" borderId="0" xfId="0" applyNumberFormat="1" applyFont="1" applyFill="1" applyBorder="1" applyAlignment="1">
      <alignment horizontal="center" vertical="center"/>
    </xf>
    <xf numFmtId="6" fontId="0" fillId="38" borderId="0" xfId="0" applyNumberFormat="1" applyFont="1" applyFill="1" applyAlignment="1" applyProtection="1">
      <alignment horizontal="center" vertical="center"/>
    </xf>
    <xf numFmtId="170" fontId="2" fillId="17" borderId="0" xfId="0" applyNumberFormat="1" applyFont="1" applyFill="1" applyBorder="1" applyAlignment="1" applyProtection="1">
      <alignment horizontal="center" vertical="center"/>
    </xf>
    <xf numFmtId="170" fontId="2" fillId="39" borderId="0" xfId="0" applyNumberFormat="1" applyFont="1" applyFill="1" applyBorder="1" applyAlignment="1" applyProtection="1">
      <alignment horizontal="center" vertical="center"/>
    </xf>
    <xf numFmtId="170" fontId="1" fillId="0" borderId="0" xfId="25" applyNumberFormat="1" applyFill="1" applyBorder="1" applyProtection="1">
      <alignment horizontal="center" vertical="center"/>
    </xf>
    <xf numFmtId="170" fontId="0" fillId="34" borderId="0" xfId="0" applyNumberFormat="1" applyFill="1" applyBorder="1" applyAlignment="1" applyProtection="1">
      <alignment horizontal="center" vertical="center"/>
    </xf>
    <xf numFmtId="170" fontId="0" fillId="0" borderId="0" xfId="0" applyNumberFormat="1" applyFont="1" applyFill="1" applyBorder="1" applyAlignment="1" applyProtection="1">
      <alignment horizontal="center" vertical="center"/>
    </xf>
    <xf numFmtId="170" fontId="0" fillId="34" borderId="0" xfId="0" applyNumberFormat="1" applyFont="1" applyFill="1" applyBorder="1" applyAlignment="1" applyProtection="1">
      <alignment horizontal="center" vertical="center"/>
    </xf>
    <xf numFmtId="14" fontId="0" fillId="0" borderId="0" xfId="0" applyNumberFormat="1" applyProtection="1">
      <alignment horizontal="left" vertical="center"/>
    </xf>
    <xf numFmtId="170" fontId="0" fillId="39" borderId="0" xfId="0" applyNumberFormat="1" applyFont="1" applyFill="1" applyBorder="1" applyAlignment="1">
      <alignment horizontal="center" vertical="center"/>
    </xf>
    <xf numFmtId="17" fontId="0" fillId="0" borderId="0" xfId="0" applyNumberFormat="1" applyProtection="1">
      <alignment horizontal="left" vertical="center"/>
    </xf>
    <xf numFmtId="0" fontId="2" fillId="0" borderId="0" xfId="0" applyFont="1" applyProtection="1">
      <alignment horizontal="left" vertical="center"/>
    </xf>
    <xf numFmtId="170" fontId="0" fillId="39" borderId="0" xfId="0" applyNumberFormat="1" applyFont="1" applyFill="1" applyAlignment="1" applyProtection="1">
      <alignment horizontal="center" vertical="center"/>
    </xf>
    <xf numFmtId="170" fontId="0" fillId="38" borderId="0" xfId="0" applyNumberFormat="1" applyFont="1" applyFill="1" applyBorder="1" applyAlignment="1">
      <alignment horizontal="center" vertical="center"/>
    </xf>
    <xf numFmtId="0" fontId="0" fillId="34" borderId="0" xfId="0" applyFill="1" applyAlignment="1" applyProtection="1">
      <alignment horizontal="center" vertical="center"/>
    </xf>
    <xf numFmtId="0" fontId="20" fillId="0" borderId="0" xfId="0" applyFont="1" applyProtection="1">
      <alignment horizontal="left" vertical="center"/>
    </xf>
    <xf numFmtId="6" fontId="0" fillId="34" borderId="0" xfId="0" applyNumberFormat="1" applyFont="1" applyFill="1" applyBorder="1" applyAlignment="1" applyProtection="1">
      <alignment horizontal="center" vertical="center"/>
    </xf>
    <xf numFmtId="0" fontId="21" fillId="0" borderId="8" xfId="0" applyFont="1" applyBorder="1" applyAlignment="1">
      <alignment horizontal="left" vertical="center" wrapText="1" indent="2"/>
    </xf>
    <xf numFmtId="169" fontId="21" fillId="0" borderId="0" xfId="0" applyNumberFormat="1" applyFont="1">
      <alignment horizontal="left" vertical="center"/>
    </xf>
    <xf numFmtId="0" fontId="21" fillId="0" borderId="9" xfId="0" applyFont="1" applyBorder="1" applyAlignment="1">
      <alignment horizontal="left" vertical="center" wrapText="1" indent="2"/>
    </xf>
    <xf numFmtId="170" fontId="2" fillId="39" borderId="0" xfId="0" applyNumberFormat="1" applyFont="1" applyFill="1" applyProtection="1">
      <alignment horizontal="left" vertical="center"/>
    </xf>
    <xf numFmtId="6" fontId="16" fillId="34" borderId="0" xfId="0" applyNumberFormat="1" applyFont="1" applyFill="1" applyBorder="1" applyAlignment="1" applyProtection="1">
      <alignment horizontal="center" vertical="center"/>
    </xf>
    <xf numFmtId="0" fontId="1" fillId="0" borderId="0" xfId="26" applyFont="1" applyFill="1" applyBorder="1" applyProtection="1">
      <alignment horizontal="left" vertical="center" wrapText="1" indent="2"/>
    </xf>
    <xf numFmtId="0" fontId="5" fillId="2" borderId="0" xfId="3" applyProtection="1">
      <alignment horizontal="center" vertical="center"/>
    </xf>
    <xf numFmtId="6" fontId="2" fillId="38" borderId="0" xfId="0" applyNumberFormat="1" applyFont="1" applyFill="1" applyAlignment="1" applyProtection="1">
      <alignment horizontal="center" vertical="center"/>
    </xf>
    <xf numFmtId="0" fontId="5" fillId="2" borderId="0" xfId="3" applyProtection="1">
      <alignment horizontal="center" vertical="center"/>
    </xf>
    <xf numFmtId="0" fontId="0" fillId="2" borderId="0" xfId="21" applyFont="1" applyAlignment="1" applyProtection="1">
      <alignment horizontal="left" vertical="center"/>
    </xf>
    <xf numFmtId="0" fontId="1" fillId="2" borderId="0" xfId="21" applyAlignment="1" applyProtection="1">
      <alignment horizontal="left" vertical="center"/>
    </xf>
    <xf numFmtId="0" fontId="1" fillId="0" borderId="0" xfId="21" applyFill="1" applyAlignment="1" applyProtection="1">
      <alignment horizontal="left" vertical="center"/>
    </xf>
    <xf numFmtId="0" fontId="0" fillId="2" borderId="0" xfId="21" applyFont="1" applyAlignment="1" applyProtection="1">
      <alignment horizontal="center" vertical="center"/>
    </xf>
    <xf numFmtId="0" fontId="0" fillId="41" borderId="0" xfId="26" applyFont="1" applyFill="1" applyBorder="1" applyProtection="1">
      <alignment horizontal="left" vertical="center" wrapText="1" indent="2"/>
    </xf>
    <xf numFmtId="0" fontId="0" fillId="41" borderId="0" xfId="0" applyFont="1" applyFill="1" applyBorder="1" applyAlignment="1" applyProtection="1">
      <alignment horizontal="center" vertical="center"/>
    </xf>
    <xf numFmtId="1" fontId="1" fillId="41" borderId="0" xfId="25" applyFill="1" applyBorder="1" applyProtection="1">
      <alignment horizontal="center" vertical="center"/>
    </xf>
    <xf numFmtId="6" fontId="0" fillId="41" borderId="0" xfId="0" applyNumberFormat="1" applyFill="1" applyBorder="1" applyAlignment="1" applyProtection="1">
      <alignment horizontal="center" vertical="center"/>
    </xf>
    <xf numFmtId="6" fontId="2" fillId="41" borderId="0" xfId="0" applyNumberFormat="1" applyFont="1" applyFill="1" applyBorder="1" applyAlignment="1" applyProtection="1">
      <alignment horizontal="center" vertical="center"/>
    </xf>
  </cellXfs>
  <cellStyles count="49">
    <cellStyle name="20 % - Accent1" xfId="15" builtinId="30" customBuiltin="1"/>
    <cellStyle name="20 % - Accent2" xfId="44" builtinId="34" customBuiltin="1"/>
    <cellStyle name="20 % - Accent3" xfId="21" builtinId="38" customBuiltin="1"/>
    <cellStyle name="20 % - Accent4" xfId="7" builtinId="42" customBuiltin="1"/>
    <cellStyle name="20 % - Accent5" xfId="47" builtinId="46" customBuiltin="1"/>
    <cellStyle name="20 % - Accent6" xfId="11" builtinId="50" customBuiltin="1"/>
    <cellStyle name="40 % - Accent1" xfId="16" builtinId="31" customBuiltin="1"/>
    <cellStyle name="40 % - Accent2" xfId="19" builtinId="35" customBuiltin="1"/>
    <cellStyle name="40 % - Accent3" xfId="22" builtinId="39" customBuiltin="1"/>
    <cellStyle name="40 % - Accent4" xfId="8" builtinId="43" customBuiltin="1"/>
    <cellStyle name="40 % - Accent5" xfId="24" builtinId="47" customBuiltin="1"/>
    <cellStyle name="40 % - Accent6" xfId="12" builtinId="51" customBuiltin="1"/>
    <cellStyle name="60 % - Accent1" xfId="17" builtinId="32" customBuiltin="1"/>
    <cellStyle name="60 % - Accent2" xfId="45" builtinId="36" customBuiltin="1"/>
    <cellStyle name="60 % - Accent3" xfId="23" builtinId="40" customBuiltin="1"/>
    <cellStyle name="60 % - Accent4" xfId="9" builtinId="44" customBuiltin="1"/>
    <cellStyle name="60 % - Accent5" xfId="48" builtinId="48" customBuiltin="1"/>
    <cellStyle name="60 %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5" xfId="46" builtinId="45" customBuiltin="1"/>
    <cellStyle name="Accent6" xfId="10" builtinId="49" customBuiltin="1"/>
    <cellStyle name="Avertissement" xfId="41" builtinId="11" customBuiltin="1"/>
    <cellStyle name="Calcul" xfId="38" builtinId="22" customBuiltin="1"/>
    <cellStyle name="Cellule liée" xfId="39" builtinId="24" customBuiltin="1"/>
    <cellStyle name="Employé" xfId="26" xr:uid="{00000000-0005-0000-0000-000013000000}"/>
    <cellStyle name="Entrée" xfId="36" builtinId="20" customBuiltin="1"/>
    <cellStyle name="Étiquette" xfId="27" xr:uid="{00000000-0005-0000-0000-000018000000}"/>
    <cellStyle name="Insatisfaisant" xfId="34" builtinId="27" customBuiltin="1"/>
    <cellStyle name="Milliers" xfId="28" builtinId="3" customBuiltin="1"/>
    <cellStyle name="Milliers [0]" xfId="29" builtinId="6" customBuiltin="1"/>
    <cellStyle name="Monétaire" xfId="30" builtinId="4" customBuiltin="1"/>
    <cellStyle name="Monétaire [0]" xfId="31" builtinId="7" customBuiltin="1"/>
    <cellStyle name="Neutre" xfId="35" builtinId="28" customBuiltin="1"/>
    <cellStyle name="Normal" xfId="0" builtinId="0" customBuiltin="1"/>
    <cellStyle name="Note" xfId="42" builtinId="10" customBuiltin="1"/>
    <cellStyle name="Pourcentage" xfId="32" builtinId="5" customBuiltin="1"/>
    <cellStyle name="Satisfaisant" xfId="33" builtinId="26" customBuiltin="1"/>
    <cellStyle name="Sortie" xfId="37" builtinId="21" customBuiltin="1"/>
    <cellStyle name="Texte explicatif" xfId="43"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25" builtinId="25" customBuiltin="1"/>
    <cellStyle name="Vérification" xfId="40" builtinId="23" customBuiltin="1"/>
  </cellStyles>
  <dxfs count="1178">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70"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70"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70"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70" formatCode="#,##0\ &quot;€&quot;"/>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family val="2"/>
        <scheme val="minor"/>
      </font>
      <numFmt numFmtId="170" formatCode="#,##0\ &quot;€&quot;"/>
      <fill>
        <patternFill patternType="solid">
          <fgColor indexed="64"/>
          <bgColor theme="5"/>
        </patternFill>
      </fill>
      <alignment horizontal="center" vertical="center" textRotation="0" wrapText="0" indent="0" justifyLastLine="0" shrinkToFit="0" readingOrder="0"/>
      <border diagonalUp="0" diagonalDown="0" outline="0">
        <left/>
        <right/>
        <top/>
        <bottom/>
      </border>
      <protection locked="1" hidden="0"/>
    </dxf>
    <dxf>
      <font>
        <b/>
      </font>
      <numFmt numFmtId="170"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family val="2"/>
        <scheme val="minor"/>
      </font>
      <numFmt numFmtId="170" formatCode="#,##0\ &quot;€&quot;"/>
      <fill>
        <patternFill patternType="solid">
          <fgColor indexed="64"/>
          <bgColor theme="6" tint="0.79998168889431442"/>
        </patternFill>
      </fill>
      <alignment horizontal="center" vertical="center" textRotation="0" wrapText="0" indent="0" justifyLastLine="0" shrinkToFit="0" readingOrder="0"/>
      <border diagonalUp="0" diagonalDown="0" outline="0">
        <left/>
        <right/>
        <top/>
        <bottom/>
      </border>
      <protection locked="1" hidden="0"/>
    </dxf>
    <dxf>
      <font>
        <b/>
      </font>
      <numFmt numFmtId="170" formatCode="#,##0\ &quot;€&quot;"/>
      <fill>
        <patternFill patternType="solid">
          <fgColor indexed="64"/>
          <bgColor theme="6" tint="0.79998168889431442"/>
        </patternFill>
      </fill>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0"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0"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6" tint="0.79998168889431442"/>
        </patternFill>
      </fill>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PivotStyle="PivotStyleLight16">
    <tableStyle name="Tableau des absences des employés" pivot="0" count="13" xr9:uid="{00000000-0011-0000-FFFF-FFFF00000000}">
      <tableStyleElement type="wholeTable" dxfId="1177"/>
      <tableStyleElement type="headerRow" dxfId="1176"/>
      <tableStyleElement type="totalRow" dxfId="1175"/>
      <tableStyleElement type="firstColumn" dxfId="1174"/>
      <tableStyleElement type="lastColumn" dxfId="1173"/>
      <tableStyleElement type="firstRowStripe" dxfId="1172"/>
      <tableStyleElement type="secondRowStripe" dxfId="1171"/>
      <tableStyleElement type="firstColumnStripe" dxfId="1170"/>
      <tableStyleElement type="secondColumnStripe" dxfId="1169"/>
      <tableStyleElement type="firstHeaderCell" dxfId="1168"/>
      <tableStyleElement type="lastHeaderCell" dxfId="1167"/>
      <tableStyleElement type="firstTotalCell" dxfId="1166"/>
      <tableStyleElement type="lastTotalCell" dxfId="11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écembre" displayName="Décembre" ref="B6:AL11" totalsRowCount="1" headerRowDxfId="1159" dataDxfId="1158" totalsRowDxfId="1157">
  <tableColumns count="37">
    <tableColumn id="1" xr3:uid="{00000000-0010-0000-0B00-000001000000}" name="Nom des locataires" dataDxfId="1156" totalsRowDxfId="1155" dataCellStyle="Employé"/>
    <tableColumn id="2" xr3:uid="{00000000-0010-0000-0B00-000002000000}" name="1" totalsRowFunction="count" dataDxfId="1154" totalsRowDxfId="1153"/>
    <tableColumn id="3" xr3:uid="{00000000-0010-0000-0B00-000003000000}" name="2" totalsRowFunction="count" dataDxfId="1152" totalsRowDxfId="1151"/>
    <tableColumn id="4" xr3:uid="{00000000-0010-0000-0B00-000004000000}" name="3" totalsRowFunction="count" dataDxfId="1150" totalsRowDxfId="1149"/>
    <tableColumn id="5" xr3:uid="{00000000-0010-0000-0B00-000005000000}" name="4" totalsRowFunction="count" dataDxfId="1148" totalsRowDxfId="1147"/>
    <tableColumn id="6" xr3:uid="{00000000-0010-0000-0B00-000006000000}" name="5" totalsRowFunction="count" dataDxfId="1146" totalsRowDxfId="1145"/>
    <tableColumn id="7" xr3:uid="{00000000-0010-0000-0B00-000007000000}" name="6" totalsRowFunction="count" dataDxfId="1144" totalsRowDxfId="1143"/>
    <tableColumn id="8" xr3:uid="{00000000-0010-0000-0B00-000008000000}" name="7" totalsRowFunction="count" dataDxfId="1142" totalsRowDxfId="1141"/>
    <tableColumn id="9" xr3:uid="{00000000-0010-0000-0B00-000009000000}" name="8" totalsRowFunction="count" dataDxfId="1140" totalsRowDxfId="1139"/>
    <tableColumn id="10" xr3:uid="{00000000-0010-0000-0B00-00000A000000}" name="9" totalsRowFunction="count" dataDxfId="1138" totalsRowDxfId="1137"/>
    <tableColumn id="11" xr3:uid="{00000000-0010-0000-0B00-00000B000000}" name="10" totalsRowFunction="count" dataDxfId="1136" totalsRowDxfId="1135"/>
    <tableColumn id="12" xr3:uid="{00000000-0010-0000-0B00-00000C000000}" name="11" totalsRowFunction="count" dataDxfId="1134" totalsRowDxfId="1133"/>
    <tableColumn id="13" xr3:uid="{00000000-0010-0000-0B00-00000D000000}" name="12" totalsRowFunction="count" dataDxfId="1132" totalsRowDxfId="1131"/>
    <tableColumn id="14" xr3:uid="{00000000-0010-0000-0B00-00000E000000}" name="13" totalsRowFunction="count" dataDxfId="1130" totalsRowDxfId="1129"/>
    <tableColumn id="15" xr3:uid="{00000000-0010-0000-0B00-00000F000000}" name="14" totalsRowFunction="count" dataDxfId="1128" totalsRowDxfId="1127"/>
    <tableColumn id="16" xr3:uid="{00000000-0010-0000-0B00-000010000000}" name="15" totalsRowFunction="count" dataDxfId="1126" totalsRowDxfId="1125"/>
    <tableColumn id="17" xr3:uid="{00000000-0010-0000-0B00-000011000000}" name="16" totalsRowFunction="count" dataDxfId="1124" totalsRowDxfId="1123"/>
    <tableColumn id="18" xr3:uid="{00000000-0010-0000-0B00-000012000000}" name="17" totalsRowFunction="count" dataDxfId="1122" totalsRowDxfId="1121"/>
    <tableColumn id="19" xr3:uid="{00000000-0010-0000-0B00-000013000000}" name="18" totalsRowFunction="count" dataDxfId="1120" totalsRowDxfId="1119"/>
    <tableColumn id="20" xr3:uid="{00000000-0010-0000-0B00-000014000000}" name="19" totalsRowFunction="count" dataDxfId="1118" totalsRowDxfId="1117"/>
    <tableColumn id="21" xr3:uid="{00000000-0010-0000-0B00-000015000000}" name="20" totalsRowFunction="count" dataDxfId="1116" totalsRowDxfId="1115"/>
    <tableColumn id="22" xr3:uid="{00000000-0010-0000-0B00-000016000000}" name="21" totalsRowFunction="count" dataDxfId="1114" totalsRowDxfId="1113"/>
    <tableColumn id="23" xr3:uid="{00000000-0010-0000-0B00-000017000000}" name="22" totalsRowFunction="count" dataDxfId="1112" totalsRowDxfId="1111"/>
    <tableColumn id="24" xr3:uid="{00000000-0010-0000-0B00-000018000000}" name="23" totalsRowFunction="count" dataDxfId="1110" totalsRowDxfId="1109"/>
    <tableColumn id="25" xr3:uid="{00000000-0010-0000-0B00-000019000000}" name="24" totalsRowFunction="count" dataDxfId="1108" totalsRowDxfId="1107"/>
    <tableColumn id="26" xr3:uid="{00000000-0010-0000-0B00-00001A000000}" name="25" totalsRowFunction="count" dataDxfId="1106" totalsRowDxfId="1105"/>
    <tableColumn id="27" xr3:uid="{00000000-0010-0000-0B00-00001B000000}" name="26" totalsRowFunction="count" dataDxfId="1104" totalsRowDxfId="1103"/>
    <tableColumn id="28" xr3:uid="{00000000-0010-0000-0B00-00001C000000}" name="27" totalsRowFunction="count" dataDxfId="1102" totalsRowDxfId="1101"/>
    <tableColumn id="29" xr3:uid="{00000000-0010-0000-0B00-00001D000000}" name="28" totalsRowFunction="count" dataDxfId="1100" totalsRowDxfId="1099"/>
    <tableColumn id="30" xr3:uid="{00000000-0010-0000-0B00-00001E000000}" name="29" totalsRowFunction="count" dataDxfId="1098" totalsRowDxfId="1097"/>
    <tableColumn id="31" xr3:uid="{00000000-0010-0000-0B00-00001F000000}" name="30" totalsRowFunction="count" dataDxfId="1096" totalsRowDxfId="1095"/>
    <tableColumn id="32" xr3:uid="{00000000-0010-0000-0B00-000020000000}" name="31" totalsRowFunction="count" dataDxfId="1094" totalsRowDxfId="1093"/>
    <tableColumn id="33" xr3:uid="{00000000-0010-0000-0B00-000021000000}" name="Total " totalsRowFunction="sum" dataDxfId="1092">
      <calculatedColumnFormula>COUNTA(Décembre[[#This Row],[1]:[31]])</calculatedColumnFormula>
    </tableColumn>
    <tableColumn id="34" xr3:uid="{5C51EE3C-464A-8546-8FD1-2F5B8A8F5B24}" name="Acompte" dataDxfId="1091" totalsRowDxfId="1090"/>
    <tableColumn id="37" xr3:uid="{190B857C-1026-D548-99F2-5ED78B316900}" name="Reste dû " dataDxfId="1089" totalsRowDxfId="1088">
      <calculatedColumnFormula>(AH7)-(AI7)</calculatedColumnFormula>
    </tableColumn>
    <tableColumn id="36" xr3:uid="{223B8E83-1857-0541-A47B-14028D41859C}" name="CDC" dataDxfId="1087" totalsRowDxfId="1086"/>
    <tableColumn id="35" xr3:uid="{63908CB8-F3D1-4945-BC05-CA0C03368390}" name="Commentaire" dataDxfId="1085" totalsRowDxfId="1084">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A0EBA9-9677-2A4B-8BA1-E7F019BD34CC}" name="Décembre67891011121415" displayName="Décembre67891011121415" ref="B6:AK11" totalsRowCount="1" headerRowDxfId="479" dataDxfId="478" totalsRowDxfId="477">
  <tableColumns count="36">
    <tableColumn id="1" xr3:uid="{BD7A6F20-1A01-484A-A97B-FAD9B0941DC9}" name="Nom des locataires" dataDxfId="476" totalsRowDxfId="475" dataCellStyle="Employé"/>
    <tableColumn id="2" xr3:uid="{2A5A5AAC-7109-FC45-B942-4C751E88EEEB}" name="1" totalsRowFunction="count" dataDxfId="474" totalsRowDxfId="473"/>
    <tableColumn id="3" xr3:uid="{44036568-AAC5-C64B-A8FA-1BC48462CB52}" name="2" totalsRowFunction="count" dataDxfId="472" totalsRowDxfId="471"/>
    <tableColumn id="4" xr3:uid="{BB1C34D2-70AD-E54C-B310-642680FE04A8}" name="3" totalsRowFunction="count" dataDxfId="470" totalsRowDxfId="469"/>
    <tableColumn id="5" xr3:uid="{D5FD3894-1E15-5545-B375-6A7E3428B828}" name="4" totalsRowFunction="count" dataDxfId="468" totalsRowDxfId="467"/>
    <tableColumn id="6" xr3:uid="{A5140C4C-B4A7-EE41-BEFE-1122E5483979}" name="5" totalsRowFunction="count" dataDxfId="466" totalsRowDxfId="465"/>
    <tableColumn id="7" xr3:uid="{49D39930-99FD-6B44-ADD4-F1A12290F8EE}" name="6" totalsRowFunction="count" dataDxfId="464" totalsRowDxfId="463"/>
    <tableColumn id="8" xr3:uid="{41F2F506-A975-F041-9805-B07709963D90}" name="7" totalsRowFunction="count" dataDxfId="462" totalsRowDxfId="461"/>
    <tableColumn id="9" xr3:uid="{EA9BB230-1531-2E40-9752-842B66818CEE}" name="8" totalsRowFunction="count" dataDxfId="460" totalsRowDxfId="459"/>
    <tableColumn id="10" xr3:uid="{B405CFC7-5042-4F42-BEA6-F035F4CCBF0D}" name="9" totalsRowFunction="count" dataDxfId="458" totalsRowDxfId="457"/>
    <tableColumn id="11" xr3:uid="{5F8A6A3D-C3AE-9D40-87D0-3DDF5B1921A6}" name="10" totalsRowFunction="count" dataDxfId="456" totalsRowDxfId="455"/>
    <tableColumn id="12" xr3:uid="{83173349-9FA1-554D-A8BB-7C8D9DBA98BF}" name="11" totalsRowFunction="count" dataDxfId="454" totalsRowDxfId="453"/>
    <tableColumn id="13" xr3:uid="{DEC2D13C-ED89-C040-BAAE-0871D8EBCDCB}" name="12" totalsRowFunction="count" dataDxfId="452" totalsRowDxfId="451"/>
    <tableColumn id="14" xr3:uid="{95E92209-F9E6-A048-A926-7D5DBBB68C25}" name="13" totalsRowFunction="count" dataDxfId="450" totalsRowDxfId="449"/>
    <tableColumn id="15" xr3:uid="{E170D183-06E2-BD4B-A96E-F039E592AC84}" name="14" totalsRowFunction="count" dataDxfId="448" totalsRowDxfId="447"/>
    <tableColumn id="16" xr3:uid="{5BC89FFD-0558-9247-8C11-6507CAE339AD}" name="15" totalsRowFunction="count" dataDxfId="446" totalsRowDxfId="445"/>
    <tableColumn id="17" xr3:uid="{0E48F41A-C0DA-EC4B-ABE6-EC2DC03E4893}" name="16" totalsRowFunction="count" dataDxfId="444" totalsRowDxfId="443"/>
    <tableColumn id="18" xr3:uid="{1BBB3C9E-7BEB-5E48-B29E-512BAFEDAD0A}" name="17" totalsRowFunction="count" dataDxfId="442" totalsRowDxfId="441"/>
    <tableColumn id="19" xr3:uid="{BEB12B8F-5ED2-4B49-82A5-B9E4304484B3}" name="18" totalsRowFunction="count" dataDxfId="440" totalsRowDxfId="439"/>
    <tableColumn id="20" xr3:uid="{2437A00A-E00D-F74F-AF7D-BFD50E20671E}" name="19" totalsRowFunction="count" dataDxfId="438" totalsRowDxfId="437"/>
    <tableColumn id="21" xr3:uid="{58FE7FE8-1634-1248-83ED-D5A3EDAB6012}" name="20" totalsRowFunction="count" dataDxfId="436" totalsRowDxfId="435"/>
    <tableColumn id="22" xr3:uid="{4F00D29D-DD83-1342-8A49-9B16AD81C05D}" name="21" totalsRowFunction="count" dataDxfId="434" totalsRowDxfId="433"/>
    <tableColumn id="23" xr3:uid="{C0515054-8BC9-454D-A7C0-128C91B4BCF1}" name="22" totalsRowFunction="count" dataDxfId="432" totalsRowDxfId="431"/>
    <tableColumn id="24" xr3:uid="{F3523E46-6F5B-1246-8476-7454A38F49DF}" name="23" totalsRowFunction="count" dataDxfId="430" totalsRowDxfId="429"/>
    <tableColumn id="25" xr3:uid="{B0BE80C5-F9A3-994D-9DAC-5864C405D7D6}" name="24" totalsRowFunction="count" dataDxfId="428" totalsRowDxfId="427"/>
    <tableColumn id="26" xr3:uid="{7F201581-0498-0D4B-BA9C-97289E9C0B55}" name="25" totalsRowFunction="count" dataDxfId="426" totalsRowDxfId="425"/>
    <tableColumn id="27" xr3:uid="{7EA793F2-78DC-DF41-AE00-683C75FC8E71}" name="26" totalsRowFunction="count" dataDxfId="424" totalsRowDxfId="423"/>
    <tableColumn id="28" xr3:uid="{AD30BF43-3D24-584E-B806-88C9609A3567}" name="27" totalsRowFunction="count" dataDxfId="422" totalsRowDxfId="421"/>
    <tableColumn id="29" xr3:uid="{30E105C9-1E7B-2240-AC46-94BE786C8F9C}" name="28" totalsRowFunction="count" dataDxfId="420" totalsRowDxfId="419"/>
    <tableColumn id="30" xr3:uid="{3EB49DB8-5AF4-A14B-8240-C791DB610BF8}" name="29" totalsRowFunction="count" dataDxfId="418" totalsRowDxfId="417"/>
    <tableColumn id="31" xr3:uid="{17014744-242B-7F4F-B94A-45D8947E3740}" name="30" totalsRowFunction="count" dataDxfId="416" totalsRowDxfId="415"/>
    <tableColumn id="33" xr3:uid="{94B984A3-16FF-DF4F-9C23-BA3938DE5ACB}" name="Total " totalsRowFunction="sum" dataDxfId="414" totalsRowDxfId="413">
      <calculatedColumnFormula>COUNTA(#REF!)</calculatedColumnFormula>
    </tableColumn>
    <tableColumn id="34" xr3:uid="{AF5361D1-2D81-B841-AC16-881B543141BB}" name="Acompte" dataDxfId="412" totalsRowDxfId="411"/>
    <tableColumn id="37" xr3:uid="{B0CE7C7D-4FB6-9B4B-9E87-D139AF8C7CF7}" name="Reste dû " dataDxfId="410" totalsRowDxfId="409">
      <calculatedColumnFormula>(AG7)-(AH7)</calculatedColumnFormula>
    </tableColumn>
    <tableColumn id="36" xr3:uid="{624CE332-4A6B-5D48-BCE8-5495C22A9944}" name="CDC" dataDxfId="408" totalsRowDxfId="407"/>
    <tableColumn id="35" xr3:uid="{29451109-EC48-284D-9145-A792991C76FE}" name="Commentaire" dataDxfId="406" totalsRowDxfId="405">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55D43A3-35F9-7A41-82B5-C3C927EA3A4F}" name="Décembre6789101112141516" displayName="Décembre6789101112141516" ref="B6:AL11" totalsRowCount="1" headerRowDxfId="399" dataDxfId="398" totalsRowDxfId="397">
  <tableColumns count="37">
    <tableColumn id="1" xr3:uid="{E7B0711E-79A7-8E45-95F4-EC0DF746657B}" name="Nom des locataires" dataDxfId="396" totalsRowDxfId="395" dataCellStyle="Employé"/>
    <tableColumn id="2" xr3:uid="{A38D887F-3923-F04D-8B51-32ECC94B7E7D}" name="1" totalsRowFunction="count" dataDxfId="394" totalsRowDxfId="393"/>
    <tableColumn id="3" xr3:uid="{364AF9E7-F206-FC4C-BBF0-F15CC2718341}" name="2" totalsRowFunction="count" dataDxfId="392" totalsRowDxfId="391"/>
    <tableColumn id="4" xr3:uid="{D722E5AE-CE32-874A-873A-B4A92E94FA71}" name="3" totalsRowFunction="count" dataDxfId="390" totalsRowDxfId="389"/>
    <tableColumn id="5" xr3:uid="{0CB705F4-1F70-BE43-A475-91F2A75E416D}" name="4" totalsRowFunction="count" dataDxfId="388" totalsRowDxfId="387"/>
    <tableColumn id="6" xr3:uid="{11DA7F62-E172-734B-AA6D-B2B01FDCCE01}" name="5" totalsRowFunction="count" dataDxfId="386" totalsRowDxfId="385"/>
    <tableColumn id="7" xr3:uid="{0E6A8D0E-33B2-B449-9E09-F9DD310C9416}" name="6" totalsRowFunction="count" dataDxfId="384" totalsRowDxfId="383"/>
    <tableColumn id="8" xr3:uid="{5E543986-30E9-8B41-AC31-ED70CE658302}" name="7" totalsRowFunction="count" dataDxfId="382" totalsRowDxfId="381"/>
    <tableColumn id="9" xr3:uid="{7FB15A93-6DF3-0B40-AC71-FBFE795B76B9}" name="8" totalsRowFunction="count" dataDxfId="380" totalsRowDxfId="379"/>
    <tableColumn id="10" xr3:uid="{2265E31F-C4DB-D443-9C2D-1DF0805BFE81}" name="9" totalsRowFunction="count" dataDxfId="378" totalsRowDxfId="377"/>
    <tableColumn id="11" xr3:uid="{B5E970F2-41F5-1F48-BFDC-C242E4329E57}" name="10" totalsRowFunction="count" dataDxfId="376" totalsRowDxfId="375"/>
    <tableColumn id="12" xr3:uid="{D351A35E-0387-324C-82BB-62A939AC102E}" name="11" totalsRowFunction="count" dataDxfId="374" totalsRowDxfId="373"/>
    <tableColumn id="13" xr3:uid="{8FAD58BD-131B-C84C-8208-8B18006A4FEF}" name="12" totalsRowFunction="count" dataDxfId="372" totalsRowDxfId="371"/>
    <tableColumn id="14" xr3:uid="{CA741145-195B-DE4A-B78D-9B312ED1FAE6}" name="13" totalsRowFunction="count" dataDxfId="370" totalsRowDxfId="369"/>
    <tableColumn id="15" xr3:uid="{133BA330-D0D2-714B-BA71-5C82ECAA4EB3}" name="14" totalsRowFunction="count" dataDxfId="368" totalsRowDxfId="367"/>
    <tableColumn id="16" xr3:uid="{B7F860DD-ACA1-A24F-A7EC-48E248D2B076}" name="15" totalsRowFunction="count" dataDxfId="366" totalsRowDxfId="365"/>
    <tableColumn id="17" xr3:uid="{1B02B54E-D992-A94F-A619-4C26ECFDED5B}" name="16" totalsRowFunction="count" dataDxfId="364" totalsRowDxfId="363"/>
    <tableColumn id="18" xr3:uid="{08F0441E-C4B1-1D40-A0E6-8117A6AE44D7}" name="17" totalsRowFunction="count" dataDxfId="362" totalsRowDxfId="361"/>
    <tableColumn id="19" xr3:uid="{E4C36115-05F6-6243-A994-38963AA2FA89}" name="18" totalsRowFunction="count" dataDxfId="360" totalsRowDxfId="359"/>
    <tableColumn id="20" xr3:uid="{ACBBCFA2-03A3-E14F-BE79-7DB3782D8D6C}" name="19" totalsRowFunction="count" dataDxfId="358" totalsRowDxfId="357"/>
    <tableColumn id="21" xr3:uid="{A3C48F78-C3F6-AC47-8EF1-A9CE6BD0EB24}" name="20" totalsRowFunction="count" dataDxfId="356" totalsRowDxfId="355"/>
    <tableColumn id="22" xr3:uid="{7AC9E672-A444-BA4C-80FB-413B2FC3EA3A}" name="21" totalsRowFunction="count" dataDxfId="354" totalsRowDxfId="353"/>
    <tableColumn id="23" xr3:uid="{B2CDD934-5A1E-3941-9073-D6619B99156A}" name="22" totalsRowFunction="count" dataDxfId="352" totalsRowDxfId="351"/>
    <tableColumn id="24" xr3:uid="{125AF42B-6DE8-5543-B689-9695A962677E}" name="23" totalsRowFunction="count" dataDxfId="350" totalsRowDxfId="349"/>
    <tableColumn id="25" xr3:uid="{F8EA7D31-B45A-8F4B-B84B-1F6A99B1B04A}" name="24" totalsRowFunction="count" dataDxfId="348" totalsRowDxfId="347"/>
    <tableColumn id="26" xr3:uid="{CDF870D8-B143-FF48-8988-40E36636A8DB}" name="25" totalsRowFunction="count" dataDxfId="346" totalsRowDxfId="345"/>
    <tableColumn id="27" xr3:uid="{1371B817-8D58-4940-87D2-44A88B1E56E1}" name="26" totalsRowFunction="count" dataDxfId="344" totalsRowDxfId="343"/>
    <tableColumn id="28" xr3:uid="{2A6C5673-79CC-A743-B9CD-F48D2B0136B7}" name="27" totalsRowFunction="count" dataDxfId="342" totalsRowDxfId="341"/>
    <tableColumn id="29" xr3:uid="{107465CB-9C37-6340-9CE1-F2B6E3EA856F}" name="28" totalsRowFunction="count" dataDxfId="340" totalsRowDxfId="339"/>
    <tableColumn id="30" xr3:uid="{F637DEFB-CC7A-214B-B4C3-B29FB816D734}" name="29" totalsRowFunction="count" dataDxfId="338" totalsRowDxfId="337"/>
    <tableColumn id="31" xr3:uid="{2F34CECC-0E43-C740-8013-CA1D7E991B21}" name="30" totalsRowFunction="count" dataDxfId="336" totalsRowDxfId="335"/>
    <tableColumn id="32" xr3:uid="{5C49471C-C92D-E046-BBC5-A35E41AC305D}" name="31" totalsRowFunction="count" dataDxfId="334" totalsRowDxfId="333"/>
    <tableColumn id="33" xr3:uid="{471FD3FF-64D0-DB46-8B44-3EDD88DADEF7}" name="Total " totalsRowFunction="sum" dataDxfId="332" totalsRowDxfId="331">
      <calculatedColumnFormula>COUNTA(Décembre6789101112141516[[#This Row],[1]:[31]])</calculatedColumnFormula>
    </tableColumn>
    <tableColumn id="34" xr3:uid="{251A8ADB-7848-164F-8635-0A77873A7C2A}" name="Acompte" dataDxfId="330" totalsRowDxfId="329"/>
    <tableColumn id="37" xr3:uid="{A395D3FB-A4A3-D14E-A21B-56F7AEB0402D}" name="Reste dû " dataDxfId="328" totalsRowDxfId="327">
      <calculatedColumnFormula>(AH7)-(AI7)</calculatedColumnFormula>
    </tableColumn>
    <tableColumn id="36" xr3:uid="{D2D1C5C0-89FE-1849-A70C-9479B194F4F7}" name="CDC" dataDxfId="326" totalsRowDxfId="325"/>
    <tableColumn id="35" xr3:uid="{E62A1F27-7CC0-D844-BA92-984247B72874}" name="Commentaire" dataDxfId="324" totalsRowDxfId="323">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B3583F-4B79-0548-A562-109ED4E67143}" name="Décembre678910111214151617" displayName="Décembre678910111214151617" ref="B6:AK11" totalsRowCount="1" headerRowDxfId="317" dataDxfId="316" totalsRowDxfId="315">
  <tableColumns count="36">
    <tableColumn id="1" xr3:uid="{56CA2639-9C14-B844-B8DB-78A7F514481D}" name="Nom des locataires" dataDxfId="314" totalsRowDxfId="313" dataCellStyle="Employé"/>
    <tableColumn id="2" xr3:uid="{2E9DFF10-AF0E-5941-BB69-CC0C69DC5849}" name="1" totalsRowFunction="count" dataDxfId="312" totalsRowDxfId="311"/>
    <tableColumn id="3" xr3:uid="{7F9342E2-0690-154E-BBA7-014A689EA956}" name="2" totalsRowFunction="count" dataDxfId="310" totalsRowDxfId="309"/>
    <tableColumn id="4" xr3:uid="{C2631A3E-9E82-7F41-9105-26980357E413}" name="3" totalsRowFunction="count" dataDxfId="308" totalsRowDxfId="307"/>
    <tableColumn id="5" xr3:uid="{DF34B9D3-FA5E-EA48-BF0B-7FC3282B7916}" name="4" totalsRowFunction="count" dataDxfId="306" totalsRowDxfId="305"/>
    <tableColumn id="6" xr3:uid="{22A70D73-EBEE-A242-8C33-7345432F587A}" name="5" totalsRowFunction="count" dataDxfId="304" totalsRowDxfId="303"/>
    <tableColumn id="7" xr3:uid="{7C7D2273-7A64-B04A-A864-0594A8FDDB0F}" name="6" totalsRowFunction="count" dataDxfId="302" totalsRowDxfId="301"/>
    <tableColumn id="8" xr3:uid="{38112AFE-B7DD-4140-A178-8CD6300E4ADE}" name="7" totalsRowFunction="count" dataDxfId="300" totalsRowDxfId="299"/>
    <tableColumn id="9" xr3:uid="{9E903B2D-4522-CF4B-9679-9084B70BB1C7}" name="8" totalsRowFunction="count" dataDxfId="298" totalsRowDxfId="297"/>
    <tableColumn id="10" xr3:uid="{C8A4AD4E-FD45-ED43-BE62-B3B815D0D2B4}" name="9" totalsRowFunction="count" dataDxfId="296" totalsRowDxfId="295"/>
    <tableColumn id="11" xr3:uid="{2DC13DD6-7A0D-8B47-8AFD-D3A272016674}" name="10" totalsRowFunction="count" dataDxfId="294" totalsRowDxfId="293"/>
    <tableColumn id="12" xr3:uid="{9D2D1B2A-E9A7-8240-A0B5-B89AE02AA981}" name="11" totalsRowFunction="count" dataDxfId="292" totalsRowDxfId="291"/>
    <tableColumn id="13" xr3:uid="{7D5C5F01-7809-D048-9A3F-B91019FFE187}" name="12" totalsRowFunction="count" dataDxfId="290" totalsRowDxfId="289"/>
    <tableColumn id="14" xr3:uid="{70F514E6-9693-EA45-94D6-BFFEC6FDD330}" name="13" totalsRowFunction="count" dataDxfId="288" totalsRowDxfId="287"/>
    <tableColumn id="15" xr3:uid="{0D18A3FD-F2D3-C948-B282-0C0DFB739558}" name="14" totalsRowFunction="count" dataDxfId="286" totalsRowDxfId="285"/>
    <tableColumn id="16" xr3:uid="{EFE1139C-FCA7-0A4D-AD14-CC98597DDCC9}" name="15" totalsRowFunction="count" dataDxfId="284" totalsRowDxfId="283"/>
    <tableColumn id="17" xr3:uid="{D40081A5-AA12-474F-B621-40C438E7DC77}" name="16" totalsRowFunction="count" dataDxfId="282" totalsRowDxfId="281"/>
    <tableColumn id="18" xr3:uid="{55DC34B1-C684-0742-8A9D-FCEDE1E6901F}" name="17" totalsRowFunction="count" dataDxfId="280" totalsRowDxfId="279"/>
    <tableColumn id="19" xr3:uid="{9CDB2754-7D77-854E-97C0-3D0CE5BD0B9C}" name="18" totalsRowFunction="count" dataDxfId="278" totalsRowDxfId="277"/>
    <tableColumn id="20" xr3:uid="{191021E0-B5B3-D34F-AFB4-56371049E1C0}" name="19" totalsRowFunction="count" dataDxfId="276" totalsRowDxfId="275"/>
    <tableColumn id="21" xr3:uid="{B9EEAFD4-2A07-CC4C-9824-ED7C6C496C5D}" name="20" totalsRowFunction="count" dataDxfId="274" totalsRowDxfId="273"/>
    <tableColumn id="22" xr3:uid="{A4366C8C-3528-824F-B274-4DD8FF6485A5}" name="21" totalsRowFunction="count" dataDxfId="272" totalsRowDxfId="271"/>
    <tableColumn id="23" xr3:uid="{8874BAD6-D752-204F-A99C-0BD46FC48BA8}" name="22" totalsRowFunction="count" dataDxfId="270" totalsRowDxfId="269"/>
    <tableColumn id="24" xr3:uid="{6DD9B89B-7150-4246-9D19-FDB64649EBFA}" name="23" totalsRowFunction="count" dataDxfId="268" totalsRowDxfId="267"/>
    <tableColumn id="25" xr3:uid="{8C74EA0D-A573-9A40-AE3A-8D7FF107985F}" name="24" totalsRowFunction="count" dataDxfId="266" totalsRowDxfId="265"/>
    <tableColumn id="26" xr3:uid="{FCC59FDC-8592-7440-A594-347E2060EEFA}" name="25" totalsRowFunction="count" dataDxfId="264" totalsRowDxfId="263"/>
    <tableColumn id="27" xr3:uid="{19C0BA4B-C22B-574E-826C-1B3E6D08466A}" name="26" totalsRowFunction="count" dataDxfId="262" totalsRowDxfId="261"/>
    <tableColumn id="28" xr3:uid="{A0643A6E-9B72-1D4C-A4F5-8FB25DE381AD}" name="27" totalsRowFunction="count" dataDxfId="260" totalsRowDxfId="259"/>
    <tableColumn id="29" xr3:uid="{9026CB1B-4E86-DC4D-896F-6E72D5F4BD6A}" name="28" totalsRowFunction="count" dataDxfId="258" totalsRowDxfId="257"/>
    <tableColumn id="30" xr3:uid="{3BFFED31-497C-1B47-A79B-3D3A55A84773}" name="29" totalsRowFunction="count" dataDxfId="256" totalsRowDxfId="255"/>
    <tableColumn id="31" xr3:uid="{E5607823-AACC-C04A-864E-D8EB4A41F60E}" name="30" totalsRowFunction="count" dataDxfId="254" totalsRowDxfId="253"/>
    <tableColumn id="33" xr3:uid="{58764D3A-A6F0-DE4C-859C-A53F9A9B667A}" name="Total " totalsRowFunction="sum" dataDxfId="252" totalsRowDxfId="251">
      <calculatedColumnFormula>COUNTA(#REF!)</calculatedColumnFormula>
    </tableColumn>
    <tableColumn id="34" xr3:uid="{C6C134D1-8F7E-9145-943F-80B63AA0B955}" name="Acompte" dataDxfId="250" totalsRowDxfId="249"/>
    <tableColumn id="37" xr3:uid="{B52081DC-B3BE-4B4D-A586-2DFF7818EACA}" name="Reste dû " dataDxfId="248" totalsRowDxfId="247">
      <calculatedColumnFormula>(AG7)-(AH7)</calculatedColumnFormula>
    </tableColumn>
    <tableColumn id="36" xr3:uid="{E36BD8EF-5D26-1340-996B-3F43B3B8C075}" name="CDC" dataDxfId="246" totalsRowDxfId="245"/>
    <tableColumn id="35" xr3:uid="{311884D3-A6BE-E24B-8255-0737DEA94761}" name="Commentaire" dataDxfId="244" totalsRowDxfId="243">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A7133F-79AF-0149-A41C-345A9EF17B3B}" name="Décembre67891011121415161718" displayName="Décembre67891011121415161718" ref="B6:AL11" totalsRowCount="1" headerRowDxfId="237" dataDxfId="236" totalsRowDxfId="235">
  <tableColumns count="37">
    <tableColumn id="1" xr3:uid="{98979008-DD66-604B-BD1F-5D14D2E51CBE}" name="Nom des locataires" dataDxfId="234" totalsRowDxfId="233" dataCellStyle="Employé"/>
    <tableColumn id="2" xr3:uid="{33A5D945-0B11-AE4F-BB23-C710C4C5DB90}" name="1" totalsRowFunction="count" dataDxfId="232" totalsRowDxfId="231"/>
    <tableColumn id="3" xr3:uid="{8A79CDBD-326D-D349-9EF4-A8561EF67C38}" name="2" totalsRowFunction="count" dataDxfId="230" totalsRowDxfId="229"/>
    <tableColumn id="4" xr3:uid="{BFD40020-A300-EC47-892C-396E971CCEC1}" name="3" totalsRowFunction="count" dataDxfId="228" totalsRowDxfId="227"/>
    <tableColumn id="5" xr3:uid="{4F247D04-AA50-D34D-817F-A936B8564BC1}" name="4" totalsRowFunction="count" dataDxfId="226" totalsRowDxfId="225"/>
    <tableColumn id="6" xr3:uid="{43AF0E61-0F19-8B48-B36A-9C799CBA4E53}" name="5" totalsRowFunction="count" dataDxfId="224" totalsRowDxfId="223"/>
    <tableColumn id="7" xr3:uid="{050F4BBE-FD6F-E44D-A827-DBD563ACE3AC}" name="6" totalsRowFunction="count" dataDxfId="222" totalsRowDxfId="221"/>
    <tableColumn id="8" xr3:uid="{31864EF2-8247-ED48-88F8-9BE6428895D3}" name="7" totalsRowFunction="count" dataDxfId="220" totalsRowDxfId="219"/>
    <tableColumn id="9" xr3:uid="{ED427CFA-0374-9142-B5E6-C3DEE33BADEF}" name="8" totalsRowFunction="count" dataDxfId="218" totalsRowDxfId="217"/>
    <tableColumn id="10" xr3:uid="{FF5CDBB4-0569-A941-B517-DC8AD3779A19}" name="9" totalsRowFunction="count" dataDxfId="216" totalsRowDxfId="215"/>
    <tableColumn id="11" xr3:uid="{7EED5D2D-4C4E-334D-AA2B-C00BD631F043}" name="10" totalsRowFunction="count" dataDxfId="214" totalsRowDxfId="213"/>
    <tableColumn id="12" xr3:uid="{DE7592CB-EEEB-8245-99BB-68066DC2F7D9}" name="11" totalsRowFunction="count" dataDxfId="212" totalsRowDxfId="211"/>
    <tableColumn id="13" xr3:uid="{AAF90A0E-2436-4B4A-BDF8-565BC215D408}" name="12" totalsRowFunction="count" dataDxfId="210" totalsRowDxfId="209"/>
    <tableColumn id="14" xr3:uid="{5C9B3436-5850-C447-90FF-387E64BE5E83}" name="13" totalsRowFunction="count" dataDxfId="208" totalsRowDxfId="207"/>
    <tableColumn id="15" xr3:uid="{BE692B07-9EFD-4A43-9C15-7C7EB26833C1}" name="14" totalsRowFunction="count" dataDxfId="206" totalsRowDxfId="205"/>
    <tableColumn id="16" xr3:uid="{172D2814-B326-1049-97CD-AD3D5779B051}" name="15" totalsRowFunction="count" dataDxfId="204" totalsRowDxfId="203"/>
    <tableColumn id="17" xr3:uid="{5112B595-945C-9546-A5CB-60DD0E83AAD0}" name="16" totalsRowFunction="count" dataDxfId="202" totalsRowDxfId="201"/>
    <tableColumn id="18" xr3:uid="{353AD550-ACB3-964C-A6BD-FCD185706230}" name="17" totalsRowFunction="count" dataDxfId="200" totalsRowDxfId="199"/>
    <tableColumn id="19" xr3:uid="{72377297-2D9F-B24E-8CFA-B269937C92D2}" name="18" totalsRowFunction="count" dataDxfId="198" totalsRowDxfId="197"/>
    <tableColumn id="20" xr3:uid="{B74A60A9-2A05-FE47-A933-2969D3A169F3}" name="19" totalsRowFunction="count" dataDxfId="196" totalsRowDxfId="195"/>
    <tableColumn id="21" xr3:uid="{84A2CCAB-A80A-6347-924E-2D7014D77740}" name="20" totalsRowFunction="count" dataDxfId="194" totalsRowDxfId="193"/>
    <tableColumn id="22" xr3:uid="{BD4C125D-C230-AB47-BD25-5DEA57D11807}" name="21" totalsRowFunction="count" dataDxfId="192" totalsRowDxfId="191"/>
    <tableColumn id="23" xr3:uid="{205D041A-6067-BD47-A056-8BF2AB7A39E4}" name="22" totalsRowFunction="count" dataDxfId="190" totalsRowDxfId="189"/>
    <tableColumn id="24" xr3:uid="{68227DDC-58EE-B041-9E6B-DCB65E6B1CAA}" name="23" totalsRowFunction="count" dataDxfId="188" totalsRowDxfId="187"/>
    <tableColumn id="25" xr3:uid="{1C93FC00-0C57-9645-A8F5-6532A6CB588F}" name="24" totalsRowFunction="count" dataDxfId="186" totalsRowDxfId="185"/>
    <tableColumn id="26" xr3:uid="{32C76AC2-34FA-0849-B011-3FD24AFFC2AF}" name="25" totalsRowFunction="count" dataDxfId="184" totalsRowDxfId="183"/>
    <tableColumn id="27" xr3:uid="{509FA6D8-2AAC-B348-A381-0FE951463CAC}" name="26" totalsRowFunction="count" dataDxfId="182" totalsRowDxfId="181"/>
    <tableColumn id="28" xr3:uid="{FAE49BCF-4AAE-1544-8895-F7D197AFA6C7}" name="27" totalsRowFunction="count" dataDxfId="180" totalsRowDxfId="179"/>
    <tableColumn id="29" xr3:uid="{BFF5258F-2E20-C740-BDDA-A8D4B5DAC743}" name="28" totalsRowFunction="count" dataDxfId="178" totalsRowDxfId="177"/>
    <tableColumn id="30" xr3:uid="{4734E107-F99A-A747-862F-15B85DD75662}" name="29" totalsRowFunction="count" dataDxfId="176" totalsRowDxfId="175"/>
    <tableColumn id="31" xr3:uid="{F80D65EA-74BD-9544-9FAA-B043C5F2A5B8}" name="30" totalsRowFunction="count" dataDxfId="174" totalsRowDxfId="173"/>
    <tableColumn id="32" xr3:uid="{C27866D4-22FE-D841-A9B7-6F36A290EFF0}" name="31" totalsRowFunction="count" dataDxfId="172" totalsRowDxfId="171"/>
    <tableColumn id="33" xr3:uid="{AFEA7326-165E-8F41-8A90-50F02E169D1B}" name="Total " totalsRowFunction="sum" dataDxfId="170" totalsRowDxfId="169">
      <calculatedColumnFormula>COUNTA(Décembre67891011121415161718[[#This Row],[1]:[31]])</calculatedColumnFormula>
    </tableColumn>
    <tableColumn id="34" xr3:uid="{F7912DF9-59C3-1B46-BEA5-8DD92F517521}" name="Acompte" dataDxfId="168" totalsRowDxfId="167"/>
    <tableColumn id="37" xr3:uid="{450EB3A6-5408-754E-A2AA-ABC9A0E9DC05}" name="Reste dû " dataDxfId="166" totalsRowDxfId="165">
      <calculatedColumnFormula>(AH7)-(AI7)</calculatedColumnFormula>
    </tableColumn>
    <tableColumn id="36" xr3:uid="{A7A3E01B-0FA1-3E44-89F2-CDAAF379AC2D}" name="CDC" dataDxfId="164" totalsRowDxfId="163"/>
    <tableColumn id="35" xr3:uid="{0C84C26C-5833-5A42-B706-07D75D832A25}" name="Commentaire" dataDxfId="162" totalsRowDxfId="161">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B5756C-4A1A-104B-BCB0-DD340763A4CE}" name="Décembre678910111214151617182" displayName="Décembre678910111214151617182" ref="B6:AL11" totalsRowCount="1" headerRowDxfId="150" dataDxfId="149" totalsRowDxfId="148">
  <tableColumns count="37">
    <tableColumn id="1" xr3:uid="{7B9C6A4E-9FD3-1943-B35D-0E3FBB5E8CF9}" name="Nom des locataires" dataDxfId="147" totalsRowDxfId="146" dataCellStyle="Employé"/>
    <tableColumn id="2" xr3:uid="{C50F39C5-3483-2D45-AFB8-FE8EF95FD391}" name="1" totalsRowFunction="count" dataDxfId="145" totalsRowDxfId="144"/>
    <tableColumn id="3" xr3:uid="{6A22A18C-0ABD-D54E-AAEA-BC16B2D5C991}" name="2" totalsRowFunction="count" dataDxfId="143" totalsRowDxfId="142"/>
    <tableColumn id="4" xr3:uid="{BB089DB9-45D7-A84F-AF7E-40D2B344989E}" name="3" totalsRowFunction="count" dataDxfId="141" totalsRowDxfId="140"/>
    <tableColumn id="5" xr3:uid="{1B6B49F9-8168-E544-B2E3-12E6BCF6C55B}" name="4" totalsRowFunction="count" dataDxfId="139" totalsRowDxfId="138"/>
    <tableColumn id="6" xr3:uid="{0809BA9D-568A-1549-8EE5-AC8340169B67}" name="5" totalsRowFunction="count" dataDxfId="137" totalsRowDxfId="136"/>
    <tableColumn id="7" xr3:uid="{D01EBF0B-E81A-BF46-9CCC-4913EACFE172}" name="6" totalsRowFunction="count" dataDxfId="135" totalsRowDxfId="134"/>
    <tableColumn id="8" xr3:uid="{EB16D575-625F-6344-A2BF-133801905D5B}" name="7" totalsRowFunction="count" dataDxfId="133" totalsRowDxfId="132"/>
    <tableColumn id="9" xr3:uid="{B93716FC-E25C-424C-9EFA-BFC5125B2A46}" name="8" totalsRowFunction="count" dataDxfId="131" totalsRowDxfId="130"/>
    <tableColumn id="10" xr3:uid="{D22CA86B-BD5B-3D46-90A8-7A82D3744D4C}" name="9" totalsRowFunction="count" dataDxfId="129" totalsRowDxfId="128"/>
    <tableColumn id="11" xr3:uid="{6EB3FA19-16CF-1F49-A5F3-13150AAD78BD}" name="10" totalsRowFunction="count" dataDxfId="127" totalsRowDxfId="126"/>
    <tableColumn id="12" xr3:uid="{90A7FA64-CA34-A04F-8314-94F0C9F97814}" name="11" totalsRowFunction="count" dataDxfId="125" totalsRowDxfId="124"/>
    <tableColumn id="13" xr3:uid="{098CB87B-4EC0-7B4A-B949-70D7AF4CA83A}" name="12" totalsRowFunction="count" dataDxfId="123" totalsRowDxfId="122"/>
    <tableColumn id="14" xr3:uid="{E21280A7-292A-C04A-B912-23A094384EFB}" name="13" totalsRowFunction="count" dataDxfId="121" totalsRowDxfId="120"/>
    <tableColumn id="15" xr3:uid="{1FE07722-5E21-1A46-AF9A-34672F2C3DAB}" name="14" totalsRowFunction="count" dataDxfId="119" totalsRowDxfId="118"/>
    <tableColumn id="16" xr3:uid="{B651B9BD-5ACA-324F-A2B6-EE9514749281}" name="15" totalsRowFunction="count" dataDxfId="117" totalsRowDxfId="116"/>
    <tableColumn id="17" xr3:uid="{03094FBD-0155-C144-BE07-196FFE8FD8CC}" name="16" totalsRowFunction="count" dataDxfId="115" totalsRowDxfId="114"/>
    <tableColumn id="18" xr3:uid="{F96395A8-D31E-F547-B6E8-8D00DE76D825}" name="17" totalsRowFunction="count" dataDxfId="113" totalsRowDxfId="112"/>
    <tableColumn id="19" xr3:uid="{A72BE5BA-C8B8-3149-9175-F0F0A2082BC8}" name="18" totalsRowFunction="count" dataDxfId="111" totalsRowDxfId="110"/>
    <tableColumn id="20" xr3:uid="{EDACEAC1-A256-C34D-BC74-18E0E37F4B42}" name="19" totalsRowFunction="count" dataDxfId="109" totalsRowDxfId="108"/>
    <tableColumn id="21" xr3:uid="{2E240D6E-616B-E24F-8498-0578AC0EE0D5}" name="20" totalsRowFunction="count" dataDxfId="107" totalsRowDxfId="106"/>
    <tableColumn id="22" xr3:uid="{18483777-4EED-B641-967D-42CC251207E2}" name="21" totalsRowFunction="count" dataDxfId="105" totalsRowDxfId="104"/>
    <tableColumn id="23" xr3:uid="{CF1CEF9D-F6B2-534E-843B-66DF1A6D33FE}" name="22" totalsRowFunction="count" dataDxfId="103" totalsRowDxfId="102"/>
    <tableColumn id="24" xr3:uid="{3DAE09FD-E19D-7847-AF8F-92BF881AEBB1}" name="23" totalsRowFunction="count" dataDxfId="101" totalsRowDxfId="100"/>
    <tableColumn id="25" xr3:uid="{52FAFD0B-3D0F-E14D-8568-D72E72536B24}" name="24" totalsRowFunction="count" dataDxfId="99" totalsRowDxfId="98"/>
    <tableColumn id="26" xr3:uid="{54B1CF8F-C497-FA48-A83B-8A8B682574C8}" name="25" totalsRowFunction="count" dataDxfId="97" totalsRowDxfId="96"/>
    <tableColumn id="27" xr3:uid="{1FEE017C-14CD-6048-9C66-20953B0FE663}" name="26" totalsRowFunction="count" dataDxfId="95" totalsRowDxfId="94"/>
    <tableColumn id="28" xr3:uid="{A17812DC-733F-CF4A-8690-D1363C530F0A}" name="27" totalsRowFunction="count" dataDxfId="93" totalsRowDxfId="92"/>
    <tableColumn id="29" xr3:uid="{A484BB0B-E10D-B142-B41C-27E36E6CE07C}" name="28" totalsRowFunction="count" dataDxfId="91" totalsRowDxfId="90"/>
    <tableColumn id="30" xr3:uid="{4DFA72C4-CAEB-3947-B99C-6E7FD539F36A}" name="29" totalsRowFunction="count" dataDxfId="89" totalsRowDxfId="88"/>
    <tableColumn id="31" xr3:uid="{6D0F4816-6C46-344A-9810-E8B0D2E83DDF}" name="30" totalsRowFunction="count" dataDxfId="87" totalsRowDxfId="86"/>
    <tableColumn id="32" xr3:uid="{FA452B4C-102B-CE43-9507-84B70F628889}" name="31" totalsRowFunction="count" dataDxfId="85" totalsRowDxfId="84"/>
    <tableColumn id="33" xr3:uid="{7BA7B1BB-9743-3A42-BB11-4D1992CF6BC5}" name="Total " totalsRowFunction="sum" dataDxfId="83" totalsRowDxfId="82">
      <calculatedColumnFormula>COUNTA(Décembre678910111214151617182[[#This Row],[1]:[31]])</calculatedColumnFormula>
    </tableColumn>
    <tableColumn id="34" xr3:uid="{E110FEC0-8AD6-1148-8434-60B9163BEA62}" name="Acompte" dataDxfId="81" totalsRowDxfId="80"/>
    <tableColumn id="37" xr3:uid="{4A7319D1-A71A-E841-9F7E-D9C80100ACA9}" name="Reste dû " dataDxfId="79" totalsRowDxfId="78">
      <calculatedColumnFormula>(AH7)-(AI7)</calculatedColumnFormula>
    </tableColumn>
    <tableColumn id="36" xr3:uid="{B8B9F4B9-1DA1-2642-B5EA-4F5263569961}" name="CDC" dataDxfId="77" totalsRowDxfId="76"/>
    <tableColumn id="35" xr3:uid="{1C21FD13-657F-CF49-AD1A-A2B1374245F0}" name="Commentaire" dataDxfId="75" totalsRowDxfId="74">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72254AE-0752-1C4F-AB77-0A6C646A444B}" name="Décembre6" displayName="Décembre6" ref="B6:AL11" totalsRowCount="1" headerRowDxfId="1078" dataDxfId="1077" totalsRowDxfId="1076">
  <tableColumns count="37">
    <tableColumn id="1" xr3:uid="{0931AFAC-2F9A-A14C-9277-6631C05963FE}" name="Nom des locataires" dataDxfId="1075" totalsRowDxfId="1074" dataCellStyle="Employé"/>
    <tableColumn id="2" xr3:uid="{EDEFBB69-B1A1-F54D-8B2F-C15783A584B2}" name="1" totalsRowFunction="count" dataDxfId="1073" totalsRowDxfId="1072"/>
    <tableColumn id="3" xr3:uid="{24913499-3FD0-A845-B7D3-8C30888681D9}" name="2" totalsRowFunction="count" dataDxfId="1071" totalsRowDxfId="1070"/>
    <tableColumn id="4" xr3:uid="{B691A4E7-3286-9F4D-803F-73A762BF2257}" name="3" totalsRowFunction="count" dataDxfId="1069" totalsRowDxfId="1068"/>
    <tableColumn id="5" xr3:uid="{76CD7DF7-F5D2-0545-94B1-A2EADC96E178}" name="4" totalsRowFunction="count" dataDxfId="1067" totalsRowDxfId="1066"/>
    <tableColumn id="6" xr3:uid="{77955250-7DAB-434A-8203-3C094EEB7A16}" name="5" totalsRowFunction="count" dataDxfId="1065" totalsRowDxfId="1064"/>
    <tableColumn id="7" xr3:uid="{0AABE112-1BB7-AC46-88FB-4B5DBBA69449}" name="6" totalsRowFunction="count" dataDxfId="1063" totalsRowDxfId="1062"/>
    <tableColumn id="8" xr3:uid="{E54239C5-51D9-4B47-ABCA-4A9C173833EC}" name="7" totalsRowFunction="count" dataDxfId="1061" totalsRowDxfId="1060"/>
    <tableColumn id="9" xr3:uid="{5A9FBF73-BCDE-754C-8B42-36E7B3D09CC8}" name="8" totalsRowFunction="count" dataDxfId="1059" totalsRowDxfId="1058"/>
    <tableColumn id="10" xr3:uid="{783EE14F-9C85-2B4B-8241-4F3F1DA4937D}" name="9" totalsRowFunction="count" dataDxfId="1057" totalsRowDxfId="1056"/>
    <tableColumn id="11" xr3:uid="{AF7DEACD-183E-6145-8AE0-6E077F5F6301}" name="10" totalsRowFunction="count" dataDxfId="1055" totalsRowDxfId="1054"/>
    <tableColumn id="12" xr3:uid="{0199EF3C-A8D2-D34A-B250-D7CCACF26D72}" name="11" totalsRowFunction="count" dataDxfId="1053" totalsRowDxfId="1052"/>
    <tableColumn id="13" xr3:uid="{969D156A-E48E-934A-B9EF-AC46A79C63C1}" name="12" totalsRowFunction="count" dataDxfId="1051" totalsRowDxfId="1050"/>
    <tableColumn id="14" xr3:uid="{06FF620A-EEB0-434A-A934-A71558653401}" name="13" totalsRowFunction="count" dataDxfId="1049" totalsRowDxfId="1048"/>
    <tableColumn id="15" xr3:uid="{CE648405-D0FA-3243-B8D4-ABAE4AFC6FBF}" name="14" totalsRowFunction="count" dataDxfId="1047" totalsRowDxfId="1046"/>
    <tableColumn id="16" xr3:uid="{34D143D5-168D-314E-879D-22BB961E1C4D}" name="15" totalsRowFunction="count" dataDxfId="1045" totalsRowDxfId="1044"/>
    <tableColumn id="17" xr3:uid="{908AECE3-CE1E-1B47-AEA1-A9E6694F80EB}" name="16" totalsRowFunction="count" dataDxfId="1043" totalsRowDxfId="1042"/>
    <tableColumn id="18" xr3:uid="{DCC7415E-C022-A943-80B5-4EB2DA7D939C}" name="17" totalsRowFunction="count" dataDxfId="1041" totalsRowDxfId="1040"/>
    <tableColumn id="19" xr3:uid="{D584843B-D9BB-5041-B18C-4480C510C1FC}" name="18" totalsRowFunction="count" dataDxfId="1039" totalsRowDxfId="1038"/>
    <tableColumn id="20" xr3:uid="{74EC2DA3-C44C-764E-B781-E39B17389580}" name="19" totalsRowFunction="count" dataDxfId="1037" totalsRowDxfId="1036"/>
    <tableColumn id="21" xr3:uid="{8424A15A-33FD-CA4F-B582-2C64BD7BD523}" name="20" totalsRowFunction="count" dataDxfId="1035" totalsRowDxfId="1034"/>
    <tableColumn id="22" xr3:uid="{83492147-E918-A648-8206-795427F3142C}" name="21" totalsRowFunction="count" dataDxfId="1033" totalsRowDxfId="1032"/>
    <tableColumn id="23" xr3:uid="{2FE70CDB-0757-A648-8093-672FF738CD41}" name="22" totalsRowFunction="count" dataDxfId="1031" totalsRowDxfId="1030"/>
    <tableColumn id="24" xr3:uid="{9F346B58-4509-2F4A-B7B0-BCC6BC14FD37}" name="23" totalsRowFunction="count" dataDxfId="1029" totalsRowDxfId="1028"/>
    <tableColumn id="25" xr3:uid="{24017D37-2DFF-C842-A25D-618C0BE862E3}" name="24" totalsRowFunction="count" dataDxfId="1027" totalsRowDxfId="1026"/>
    <tableColumn id="26" xr3:uid="{24D8576E-4B29-BD4B-A01D-242DAC37A1BF}" name="25" totalsRowFunction="count" dataDxfId="1025" totalsRowDxfId="1024"/>
    <tableColumn id="27" xr3:uid="{AAFEA96C-CA8F-F444-BBB8-96F96F088077}" name="26" totalsRowFunction="count" dataDxfId="1023" totalsRowDxfId="1022"/>
    <tableColumn id="28" xr3:uid="{0C782DD1-0C33-C941-9A4A-C40057E33055}" name="27" totalsRowFunction="count" dataDxfId="1021" totalsRowDxfId="1020"/>
    <tableColumn id="29" xr3:uid="{ED4B7924-7C39-554A-9C4A-66CE07613226}" name="28" totalsRowFunction="count" dataDxfId="1019" totalsRowDxfId="1018"/>
    <tableColumn id="30" xr3:uid="{3A00D096-71AA-C34E-9E0A-F6B7FBF3D614}" name="29" totalsRowFunction="count" dataDxfId="1017" totalsRowDxfId="1016"/>
    <tableColumn id="31" xr3:uid="{84F7ABE3-14F8-CF44-8EFA-A396BCD2AADE}" name="30" totalsRowFunction="count" dataDxfId="1015" totalsRowDxfId="1014"/>
    <tableColumn id="32" xr3:uid="{3E91F7C6-5D54-AE44-8937-01F46B9B7B08}" name="31" totalsRowFunction="count" dataDxfId="1013" totalsRowDxfId="1012"/>
    <tableColumn id="33" xr3:uid="{2DC11714-7A50-5D4F-B8B6-425EC59BA55E}" name="Total " totalsRowFunction="sum" dataDxfId="1011" totalsRowDxfId="1010">
      <calculatedColumnFormula>COUNTA(Décembre6[[#This Row],[1]:[31]])</calculatedColumnFormula>
    </tableColumn>
    <tableColumn id="34" xr3:uid="{ABD44D32-C5D7-FE43-A76C-EF2FDFFB9EB5}" name="Acompte" dataDxfId="1009" totalsRowDxfId="1008"/>
    <tableColumn id="37" xr3:uid="{6A5B7604-F51F-094E-AC9A-4BC980658DC2}" name="Reste dû " totalsRowFunction="custom" dataDxfId="1007" totalsRowDxfId="1006">
      <calculatedColumnFormula>AH7-AI7</calculatedColumnFormula>
      <totalsRowFormula>SUM(Décembre6[[Reste dû ]])</totalsRowFormula>
    </tableColumn>
    <tableColumn id="36" xr3:uid="{4FE14BB9-0F88-AC40-8C5D-A06D514E9D99}" name="CDC" dataDxfId="1005" totalsRowDxfId="1004"/>
    <tableColumn id="35" xr3:uid="{38BD1D4B-8E0F-294D-B594-CCD5DF8A80AB}" name="Commentaire" dataDxfId="1003" totalsRowDxfId="1002">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10D5D-0893-8E4A-8558-9B06664B3F16}" name="Décembre67" displayName="Décembre67" ref="B6:AJ11" totalsRowCount="1" headerRowDxfId="996" dataDxfId="995" totalsRowDxfId="994">
  <tableColumns count="35">
    <tableColumn id="1" xr3:uid="{D5525E2B-2199-F246-85B8-2F1D8A8D6AFB}" name="Nom des locataires" dataDxfId="993" totalsRowDxfId="992" dataCellStyle="Employé"/>
    <tableColumn id="2" xr3:uid="{1B57778D-C622-B847-AF45-965B574E3B97}" name="1" totalsRowFunction="count" dataDxfId="991" totalsRowDxfId="990"/>
    <tableColumn id="3" xr3:uid="{96C97737-FE8D-1D49-AADB-E819E293A586}" name="2" totalsRowFunction="count" dataDxfId="989" totalsRowDxfId="988"/>
    <tableColumn id="4" xr3:uid="{6ECABC92-F930-3D4C-B171-86106534BF23}" name="3" totalsRowFunction="count" dataDxfId="987" totalsRowDxfId="986"/>
    <tableColumn id="5" xr3:uid="{36F45F31-8135-4B49-AE01-CC58856D3DE4}" name="4" totalsRowFunction="count" dataDxfId="985" totalsRowDxfId="984"/>
    <tableColumn id="6" xr3:uid="{6E5389F1-AF43-1F4B-AE38-20CAB06CE4D0}" name="5" totalsRowFunction="count" dataDxfId="983" totalsRowDxfId="982"/>
    <tableColumn id="7" xr3:uid="{BE1658F1-170F-5942-BE93-3263A4BC9BFA}" name="6" totalsRowFunction="count" dataDxfId="981" totalsRowDxfId="980"/>
    <tableColumn id="8" xr3:uid="{08ADF520-9E4F-C145-AA21-4DFECA101FC8}" name="7" totalsRowFunction="count" dataDxfId="979" totalsRowDxfId="978"/>
    <tableColumn id="9" xr3:uid="{ED8A5CB1-F591-BF43-B6C8-678ED7E8A4C0}" name="8" totalsRowFunction="count" dataDxfId="977" totalsRowDxfId="976"/>
    <tableColumn id="10" xr3:uid="{2B40FF62-3E6F-234F-AB2D-26222604AF00}" name="9" totalsRowFunction="count" dataDxfId="975" totalsRowDxfId="974"/>
    <tableColumn id="11" xr3:uid="{D988C236-9885-A24B-9E1B-6F7B2B8CDAB5}" name="10" totalsRowFunction="count" dataDxfId="973" totalsRowDxfId="972"/>
    <tableColumn id="12" xr3:uid="{41D7DA17-73EE-DD41-8387-46CD01A6CB36}" name="11" totalsRowFunction="count" dataDxfId="971" totalsRowDxfId="970"/>
    <tableColumn id="13" xr3:uid="{CCA816E1-EC4F-0D46-B12B-D17C04D3EE79}" name="12" totalsRowFunction="count" dataDxfId="969" totalsRowDxfId="968"/>
    <tableColumn id="14" xr3:uid="{E9711FFA-1FCD-4E43-9651-503E6FB86DF5}" name="13" totalsRowFunction="count" dataDxfId="967" totalsRowDxfId="966"/>
    <tableColumn id="15" xr3:uid="{D2C1A374-6A1F-A346-AF7F-F8219968E751}" name="14" totalsRowFunction="count" dataDxfId="965" totalsRowDxfId="964"/>
    <tableColumn id="16" xr3:uid="{E36BA33F-D856-7A42-8168-ABFE6D149CB7}" name="15" totalsRowFunction="count" dataDxfId="963" totalsRowDxfId="962"/>
    <tableColumn id="17" xr3:uid="{7C0746D2-DF59-C64E-8F7B-CC7246BFD628}" name="16" totalsRowFunction="count" dataDxfId="961" totalsRowDxfId="960"/>
    <tableColumn id="18" xr3:uid="{1258FD26-2768-FB48-A8DC-638EF34A75CC}" name="17" totalsRowFunction="count" dataDxfId="959" totalsRowDxfId="958"/>
    <tableColumn id="19" xr3:uid="{CB6FE69B-3FF9-0541-846D-92990178C48B}" name="18" totalsRowFunction="count" dataDxfId="957" totalsRowDxfId="956"/>
    <tableColumn id="20" xr3:uid="{6FD2540C-EA4A-5344-B9FC-B894E94C53B7}" name="19" totalsRowFunction="count" dataDxfId="955" totalsRowDxfId="954"/>
    <tableColumn id="21" xr3:uid="{47231290-0232-9B47-8EEE-BE08E2F4E2B3}" name="20" totalsRowFunction="count" dataDxfId="953" totalsRowDxfId="952"/>
    <tableColumn id="22" xr3:uid="{F46F6136-2275-4544-93EC-29C23BAA04F5}" name="21" totalsRowFunction="count" dataDxfId="951" totalsRowDxfId="950"/>
    <tableColumn id="23" xr3:uid="{03ACFF06-3941-654D-A4C4-0D7E4DC92C0A}" name="22" totalsRowFunction="count" dataDxfId="949" totalsRowDxfId="948"/>
    <tableColumn id="24" xr3:uid="{C284796E-FED2-1947-9451-5BE746838721}" name="23" totalsRowFunction="count" dataDxfId="947" totalsRowDxfId="946"/>
    <tableColumn id="25" xr3:uid="{9BE8D295-7480-0E40-9742-7D93ED5DDCEC}" name="24" totalsRowFunction="count" dataDxfId="945" totalsRowDxfId="944"/>
    <tableColumn id="26" xr3:uid="{7761A352-8DD6-C14C-B285-69C03567874D}" name="25" totalsRowFunction="count" dataDxfId="943" totalsRowDxfId="942"/>
    <tableColumn id="27" xr3:uid="{BB4AB2F9-49FA-9545-89D3-037842E02BBE}" name="26" totalsRowFunction="count" dataDxfId="941" totalsRowDxfId="940"/>
    <tableColumn id="28" xr3:uid="{D3882601-C397-814C-847A-135BB1728B1F}" name="27" totalsRowFunction="count" dataDxfId="939" totalsRowDxfId="938"/>
    <tableColumn id="29" xr3:uid="{59C7843A-36EB-E549-97C0-145D95AB1D52}" name="28" totalsRowFunction="count" dataDxfId="937" totalsRowDxfId="936"/>
    <tableColumn id="30" xr3:uid="{53EE0E53-C879-8944-A4B0-D340317A9381}" name="29" totalsRowFunction="count" dataDxfId="935" totalsRowDxfId="934"/>
    <tableColumn id="33" xr3:uid="{D66F2594-1C51-BE41-9189-B7CA3720A01A}" name="Total " totalsRowFunction="sum" dataDxfId="933" totalsRowDxfId="932">
      <calculatedColumnFormula>COUNTA(#REF!)</calculatedColumnFormula>
    </tableColumn>
    <tableColumn id="34" xr3:uid="{DB48E0C8-5ACE-8749-92F0-484A4A066241}" name="Acompte" dataDxfId="931" totalsRowDxfId="930"/>
    <tableColumn id="37" xr3:uid="{1FF83531-E626-1E4E-9347-5D688DFB431F}" name="Reste dû " dataDxfId="929" totalsRowDxfId="928">
      <calculatedColumnFormula>(AF7)-(AG7)</calculatedColumnFormula>
    </tableColumn>
    <tableColumn id="36" xr3:uid="{281311FF-553D-8C43-B2BD-50DEE1DC99BA}" name="CDC" dataDxfId="927" totalsRowDxfId="926"/>
    <tableColumn id="35" xr3:uid="{CF82BFEA-7A51-C746-AE96-13D704C5C233}" name="Commentaire" dataDxfId="925" totalsRowDxfId="924">
      <calculatedColumnFormula>(AH7)-30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8C8952-7087-A248-8A99-387768D13580}" name="Décembre678" displayName="Décembre678" ref="B6:AL11" totalsRowCount="1" headerRowDxfId="918" dataDxfId="917" totalsRowDxfId="916">
  <tableColumns count="37">
    <tableColumn id="1" xr3:uid="{DBB06C11-ABC9-E643-949A-2060F13D4D23}" name="Nom des locataires" dataDxfId="915" totalsRowDxfId="914" dataCellStyle="Employé"/>
    <tableColumn id="2" xr3:uid="{6DF295F5-352F-3943-A07D-5FFFFAA407A2}" name="1" totalsRowFunction="count" dataDxfId="913" totalsRowDxfId="912"/>
    <tableColumn id="3" xr3:uid="{4425C3F8-8F50-994A-AB5E-D03BF9822C78}" name="2" totalsRowFunction="count" dataDxfId="911" totalsRowDxfId="910"/>
    <tableColumn id="4" xr3:uid="{6E14FD87-2F6F-5D4B-A103-77CF048BFCEE}" name="3" totalsRowFunction="count" dataDxfId="909" totalsRowDxfId="908"/>
    <tableColumn id="5" xr3:uid="{CE6BB617-9130-F74E-8066-22005E6D82BD}" name="4" totalsRowFunction="count" dataDxfId="907" totalsRowDxfId="906"/>
    <tableColumn id="6" xr3:uid="{35178061-3F9F-264D-8335-5F102B42DC4E}" name="5" totalsRowFunction="count" dataDxfId="905" totalsRowDxfId="904"/>
    <tableColumn id="7" xr3:uid="{FE5C070B-66C0-3347-BF56-A87926590C2F}" name="6" totalsRowFunction="count" dataDxfId="903" totalsRowDxfId="902"/>
    <tableColumn id="8" xr3:uid="{057758BB-908B-4D49-A869-EFA2A4BF2A78}" name="7" totalsRowFunction="count" dataDxfId="901" totalsRowDxfId="900"/>
    <tableColumn id="9" xr3:uid="{D901796B-75FB-DF43-A5EC-8785292897C8}" name="8" totalsRowFunction="count" dataDxfId="899" totalsRowDxfId="898"/>
    <tableColumn id="10" xr3:uid="{F540658A-FCAC-EA4E-B693-ED1603CBFE7D}" name="9" totalsRowFunction="count" dataDxfId="897" totalsRowDxfId="896"/>
    <tableColumn id="11" xr3:uid="{E778CFB7-B54D-2A43-A482-9A950BEB26A2}" name="10" totalsRowFunction="count" dataDxfId="895" totalsRowDxfId="894"/>
    <tableColumn id="12" xr3:uid="{67E6BA98-BE6E-2143-BD94-21FE30525EF6}" name="11" totalsRowFunction="count" dataDxfId="893" totalsRowDxfId="892"/>
    <tableColumn id="13" xr3:uid="{F6DE3E9E-D569-7846-9178-43052042DD21}" name="12" totalsRowFunction="count" dataDxfId="891" totalsRowDxfId="890"/>
    <tableColumn id="14" xr3:uid="{A3B67783-DD5B-9C4C-84A0-B662964E60FD}" name="13" totalsRowFunction="count" dataDxfId="889" totalsRowDxfId="888"/>
    <tableColumn id="15" xr3:uid="{9825F0A6-7FB5-884F-9CDE-EAE4F79FDFB3}" name="14" totalsRowFunction="count" dataDxfId="887" totalsRowDxfId="886"/>
    <tableColumn id="16" xr3:uid="{93606C3F-7BFC-D44A-BC17-952D2CD01C76}" name="15" totalsRowFunction="count" dataDxfId="885" totalsRowDxfId="884"/>
    <tableColumn id="17" xr3:uid="{DDBA3574-9F09-6B40-A7EE-4BC40984E5A5}" name="16" totalsRowFunction="count" dataDxfId="883" totalsRowDxfId="882"/>
    <tableColumn id="18" xr3:uid="{E4E376BA-1F4C-234D-B06E-CB80D7E2270B}" name="17" totalsRowFunction="count" dataDxfId="881" totalsRowDxfId="880"/>
    <tableColumn id="19" xr3:uid="{A08FFC96-4592-3C40-B02D-30EE51962F3B}" name="18" totalsRowFunction="count" dataDxfId="879" totalsRowDxfId="878"/>
    <tableColumn id="20" xr3:uid="{D9219A46-0CC6-7B41-84AC-44B079A24438}" name="19" totalsRowFunction="count" dataDxfId="877" totalsRowDxfId="876"/>
    <tableColumn id="21" xr3:uid="{F346B8E7-3597-E942-866D-324D17C76FFF}" name="20" totalsRowFunction="count" dataDxfId="875" totalsRowDxfId="874"/>
    <tableColumn id="22" xr3:uid="{6005D0CA-602D-7C48-832E-93DE2031A818}" name="21" totalsRowFunction="count" dataDxfId="873" totalsRowDxfId="872"/>
    <tableColumn id="23" xr3:uid="{5ED9D65A-24EB-964D-8D8C-655F59E9C969}" name="22" totalsRowFunction="count" dataDxfId="871" totalsRowDxfId="870"/>
    <tableColumn id="24" xr3:uid="{F27D2E6B-5709-244F-AA51-E5F80550FF12}" name="23" totalsRowFunction="count" dataDxfId="869" totalsRowDxfId="868"/>
    <tableColumn id="25" xr3:uid="{C19EB012-BB16-7D49-B3C3-2A9EF83CC411}" name="24" totalsRowFunction="count" dataDxfId="867" totalsRowDxfId="866"/>
    <tableColumn id="26" xr3:uid="{28B60DC4-D81D-1C49-BE23-2E38DC5307DC}" name="25" totalsRowFunction="count" dataDxfId="865" totalsRowDxfId="864"/>
    <tableColumn id="27" xr3:uid="{3D0E4D78-8713-E840-AB62-894A3D49640F}" name="26" totalsRowFunction="count" dataDxfId="863" totalsRowDxfId="862"/>
    <tableColumn id="28" xr3:uid="{8C932EA3-A58D-BF47-A3A5-EAD54D96BE92}" name="27" totalsRowFunction="count" dataDxfId="861" totalsRowDxfId="860"/>
    <tableColumn id="29" xr3:uid="{EA1C2168-41DE-3745-9439-F15BF5E35A91}" name="28" totalsRowFunction="count" dataDxfId="859" totalsRowDxfId="858"/>
    <tableColumn id="30" xr3:uid="{12EA2F3F-9F6F-4843-A863-E497F299351D}" name="29" totalsRowFunction="count" dataDxfId="857" totalsRowDxfId="856"/>
    <tableColumn id="31" xr3:uid="{26512B58-D9F2-0C40-A8F7-58D07B99F9AC}" name="30" totalsRowFunction="count" dataDxfId="855" totalsRowDxfId="854"/>
    <tableColumn id="32" xr3:uid="{C2B2E8FB-ABAA-C64C-9C61-587060229AFE}" name="31" totalsRowFunction="count" dataDxfId="853" totalsRowDxfId="852"/>
    <tableColumn id="33" xr3:uid="{B824B0E6-D6EF-CB41-A536-0171018A57DD}" name="Total " totalsRowFunction="sum" dataDxfId="851" totalsRowDxfId="850">
      <calculatedColumnFormula>COUNTA(Décembre678[[#This Row],[1]:[31]])</calculatedColumnFormula>
    </tableColumn>
    <tableColumn id="34" xr3:uid="{6A8C1BC3-B52B-F94A-A8F2-AEE32295FE85}" name="Acompte" dataDxfId="849" totalsRowDxfId="848"/>
    <tableColumn id="37" xr3:uid="{569224B6-160F-964F-AE31-762C7ADA6675}" name="Reste dû " dataDxfId="847" totalsRowDxfId="846">
      <calculatedColumnFormula>(AH7)-(AI7)</calculatedColumnFormula>
    </tableColumn>
    <tableColumn id="36" xr3:uid="{B28E696D-339F-ED4D-9B37-6DB0DBFFD8F6}" name="CDC" dataDxfId="845" totalsRowDxfId="844"/>
    <tableColumn id="35" xr3:uid="{54D49D2F-E523-4548-B0A7-CE72DA8CE83A}" name="Commentaire" dataDxfId="843" totalsRowDxfId="842">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194DE6-8F46-E34A-A23F-9A2702E75844}" name="Décembre6789" displayName="Décembre6789" ref="B6:AK11" totalsRowCount="1" headerRowDxfId="821" dataDxfId="820" totalsRowDxfId="819">
  <tableColumns count="36">
    <tableColumn id="1" xr3:uid="{BD501540-6708-9740-8DEC-2C6D7E415DAB}" name="Nom des locataires" dataDxfId="818" totalsRowDxfId="817" dataCellStyle="Employé"/>
    <tableColumn id="2" xr3:uid="{9928FC79-33F9-834C-9CA8-B398D0D02A89}" name="1" totalsRowFunction="count" dataDxfId="816" totalsRowDxfId="815"/>
    <tableColumn id="3" xr3:uid="{D6400BCA-CAB3-0B43-96E1-803728A99F0B}" name="2" totalsRowFunction="count" dataDxfId="814" totalsRowDxfId="813"/>
    <tableColumn id="4" xr3:uid="{B8AB6FD1-1788-894F-8803-E43C087BFF38}" name="3" totalsRowFunction="count" dataDxfId="812" totalsRowDxfId="811"/>
    <tableColumn id="5" xr3:uid="{4821800F-9FD7-9E45-8EAF-A049334C62BB}" name="4" totalsRowFunction="count" dataDxfId="810" totalsRowDxfId="809"/>
    <tableColumn id="6" xr3:uid="{216D842F-76A4-714E-80FF-AD3928147DBC}" name="5" totalsRowFunction="count" dataDxfId="808" totalsRowDxfId="807"/>
    <tableColumn id="7" xr3:uid="{63E27DEA-B4BD-3640-8A1B-5224723EA494}" name="6" totalsRowFunction="count" dataDxfId="806" totalsRowDxfId="805"/>
    <tableColumn id="8" xr3:uid="{B02CAD8E-FD2B-1247-8A2D-B19F06ED3B86}" name="7" totalsRowFunction="count" dataDxfId="804" totalsRowDxfId="803"/>
    <tableColumn id="9" xr3:uid="{3134C816-125F-ED47-A843-77AF47640EB9}" name="8" totalsRowFunction="count" dataDxfId="802" totalsRowDxfId="801"/>
    <tableColumn id="10" xr3:uid="{7A337A9E-5351-4748-971B-E242970DB538}" name="9" totalsRowFunction="count" dataDxfId="800" totalsRowDxfId="799"/>
    <tableColumn id="11" xr3:uid="{92B5C118-045C-BC4E-81E1-4E7586CAED5D}" name="10" totalsRowFunction="count" dataDxfId="798" totalsRowDxfId="797"/>
    <tableColumn id="12" xr3:uid="{B5E40D8D-9531-E24E-9B82-200D046A4F38}" name="11" totalsRowFunction="count" dataDxfId="796" totalsRowDxfId="795"/>
    <tableColumn id="13" xr3:uid="{1EED9376-6AA6-BA4F-A262-147436F60E70}" name="12" totalsRowFunction="count" dataDxfId="794" totalsRowDxfId="793"/>
    <tableColumn id="14" xr3:uid="{84D70F1B-9B32-BC47-9B28-A6581468BC78}" name="13" totalsRowFunction="count" dataDxfId="792" totalsRowDxfId="791"/>
    <tableColumn id="15" xr3:uid="{96F20609-F975-3044-8537-BF7F5ACC60B2}" name="14" totalsRowFunction="count" dataDxfId="790" totalsRowDxfId="789"/>
    <tableColumn id="16" xr3:uid="{ABF12091-5652-9641-8287-1EA41DDB01F9}" name="15" totalsRowFunction="count" dataDxfId="788" totalsRowDxfId="787"/>
    <tableColumn id="17" xr3:uid="{786DF04E-E162-1243-8994-387011F7A521}" name="16" totalsRowFunction="count" dataDxfId="786" totalsRowDxfId="785"/>
    <tableColumn id="18" xr3:uid="{FBCCBFF9-3B9D-C44F-A13F-2BE26C31B68F}" name="17" totalsRowFunction="count" dataDxfId="784" totalsRowDxfId="783"/>
    <tableColumn id="19" xr3:uid="{639A4623-7D63-A449-9E77-09EC093DBCC4}" name="18" totalsRowFunction="count" dataDxfId="782" totalsRowDxfId="781"/>
    <tableColumn id="20" xr3:uid="{11B2B5D0-99BF-5E4F-83A4-D7D40764EDB9}" name="19" totalsRowFunction="count" dataDxfId="780" totalsRowDxfId="779"/>
    <tableColumn id="21" xr3:uid="{D0D6E9B2-4B28-154A-921E-582C308F50B7}" name="20" totalsRowFunction="count" dataDxfId="778" totalsRowDxfId="777"/>
    <tableColumn id="22" xr3:uid="{706D2B3A-C0FD-7846-A15D-6A648D1D41B1}" name="21" totalsRowFunction="count" dataDxfId="776" totalsRowDxfId="775"/>
    <tableColumn id="23" xr3:uid="{EA738841-2EFB-5B42-AC7B-3AAEAD0055A2}" name="22" totalsRowFunction="count" dataDxfId="774" totalsRowDxfId="773"/>
    <tableColumn id="24" xr3:uid="{4DF2F1DB-DF28-3C47-98E1-D4D16E46C3A4}" name="23" totalsRowFunction="count" dataDxfId="772" totalsRowDxfId="771"/>
    <tableColumn id="25" xr3:uid="{6B463934-7369-FA44-9BBA-27A17D7C70C5}" name="24" totalsRowFunction="count" dataDxfId="770" totalsRowDxfId="769"/>
    <tableColumn id="26" xr3:uid="{56228AC6-6A05-ED41-88D9-FAEEC3D4E49A}" name="25" totalsRowFunction="count" dataDxfId="768" totalsRowDxfId="767"/>
    <tableColumn id="27" xr3:uid="{655EEAF2-1335-F84A-BE9A-1EF1628E3426}" name="26" totalsRowFunction="count" dataDxfId="766" totalsRowDxfId="765"/>
    <tableColumn id="28" xr3:uid="{64A7EF6E-703A-7640-9453-ADA28E78F24B}" name="27" totalsRowFunction="count" dataDxfId="764" totalsRowDxfId="763"/>
    <tableColumn id="29" xr3:uid="{DE66AD63-1934-9642-BD6D-57EBAF4E7010}" name="28" totalsRowFunction="count" dataDxfId="762" totalsRowDxfId="761"/>
    <tableColumn id="30" xr3:uid="{94CCEEA0-00FF-494D-A68C-9D3D499131F5}" name="29" totalsRowFunction="count" dataDxfId="760" totalsRowDxfId="759"/>
    <tableColumn id="31" xr3:uid="{99FDE5CE-656B-AD49-97B6-7891A50E546C}" name="30" totalsRowFunction="count" dataDxfId="758" totalsRowDxfId="757"/>
    <tableColumn id="33" xr3:uid="{6A6BE9EC-8C2D-7D4D-AE48-26F6DD002EA6}" name="Total " totalsRowFunction="sum" dataDxfId="756" totalsRowDxfId="755">
      <calculatedColumnFormula>COUNTA(#REF!)</calculatedColumnFormula>
    </tableColumn>
    <tableColumn id="34" xr3:uid="{791646FF-E8CB-B747-96A8-69791DA98BB4}" name="Acompte" dataDxfId="754" totalsRowDxfId="753"/>
    <tableColumn id="37" xr3:uid="{5BC9436A-6CAC-B643-BF93-EDEF3FB2D2BD}" name="Reste dû " dataDxfId="752" totalsRowDxfId="751">
      <calculatedColumnFormula>(AG7)-(AH7)</calculatedColumnFormula>
    </tableColumn>
    <tableColumn id="36" xr3:uid="{CF2020BA-FED0-444B-8C55-7662A5247019}" name="CDC" dataDxfId="750" totalsRowDxfId="749"/>
    <tableColumn id="35" xr3:uid="{AAF0DA55-01BE-EF44-A170-2CE467C53EF2}" name="Commentaire" dataDxfId="748" totalsRowDxfId="747">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050C70-1501-4143-89E7-F163CB99B5B1}" name="Décembre678910" displayName="Décembre678910" ref="B6:AL11" totalsRowCount="1" headerRowDxfId="741" dataDxfId="740" totalsRowDxfId="739">
  <tableColumns count="37">
    <tableColumn id="1" xr3:uid="{8A0E07DA-ADC8-C64D-A098-3CD6FEB718F3}" name="Nom des locataires" dataDxfId="738" totalsRowDxfId="737" dataCellStyle="Employé"/>
    <tableColumn id="2" xr3:uid="{1C918B2B-291D-2F4B-BD42-5889AA185E41}" name="1" totalsRowFunction="count" dataDxfId="736" totalsRowDxfId="735"/>
    <tableColumn id="3" xr3:uid="{48C8D20B-6D9B-984F-9967-EF0B99F755A1}" name="2" totalsRowFunction="count" dataDxfId="734" totalsRowDxfId="733"/>
    <tableColumn id="4" xr3:uid="{48536EF0-25B7-1641-AB28-AB9AE97E65F5}" name="3" totalsRowFunction="count" dataDxfId="732" totalsRowDxfId="731"/>
    <tableColumn id="5" xr3:uid="{FC200252-0793-384D-BC8B-1647D0FFA59F}" name="4" totalsRowFunction="count" dataDxfId="730" totalsRowDxfId="729"/>
    <tableColumn id="6" xr3:uid="{69A7010B-4DED-9247-A28F-557CA719EAEA}" name="5" totalsRowFunction="count" dataDxfId="728" totalsRowDxfId="727"/>
    <tableColumn id="7" xr3:uid="{58BED4F7-3954-454A-8D62-C19124526BEB}" name="6" totalsRowFunction="count" dataDxfId="726" totalsRowDxfId="725"/>
    <tableColumn id="8" xr3:uid="{A8B0AB81-1539-A142-A877-064D7D6880C6}" name="7" totalsRowFunction="count" dataDxfId="724" totalsRowDxfId="723"/>
    <tableColumn id="9" xr3:uid="{BF39C458-A7BB-CA4B-915E-A0AF1374F1D6}" name="8" totalsRowFunction="count" dataDxfId="722" totalsRowDxfId="721"/>
    <tableColumn id="10" xr3:uid="{27E0DC8E-708B-684C-B009-7C6A34E066D1}" name="9" totalsRowFunction="count" dataDxfId="720" totalsRowDxfId="719"/>
    <tableColumn id="11" xr3:uid="{2ECB91AE-6F51-DD47-BE13-18DEB4FA48C4}" name="10" totalsRowFunction="count" dataDxfId="718" totalsRowDxfId="717"/>
    <tableColumn id="12" xr3:uid="{73D7AD3C-F392-E147-B08A-926BAD786460}" name="11" totalsRowFunction="count" dataDxfId="716" totalsRowDxfId="715"/>
    <tableColumn id="13" xr3:uid="{7D41954A-8739-7540-8BFB-6EF027DA4475}" name="12" totalsRowFunction="count" dataDxfId="714" totalsRowDxfId="713"/>
    <tableColumn id="14" xr3:uid="{62D34594-4CA3-0146-8D7F-3B156EA00B93}" name="13" totalsRowFunction="count" dataDxfId="712" totalsRowDxfId="711"/>
    <tableColumn id="15" xr3:uid="{73232DE2-0810-504C-B4D0-00D28D78422A}" name="14" totalsRowFunction="count" dataDxfId="710" totalsRowDxfId="709"/>
    <tableColumn id="16" xr3:uid="{027A4BF5-6B1A-EE4D-9ED3-FF6F4A7AC1B3}" name="15" totalsRowFunction="count" dataDxfId="708" totalsRowDxfId="707"/>
    <tableColumn id="17" xr3:uid="{56F83AEE-494D-C342-B123-5D52AEA5AE24}" name="16" totalsRowFunction="count" dataDxfId="706" totalsRowDxfId="705"/>
    <tableColumn id="18" xr3:uid="{1BBC0D1B-4432-584C-ACD1-1AE70B47EFCC}" name="17" totalsRowFunction="count" dataDxfId="704" totalsRowDxfId="703"/>
    <tableColumn id="19" xr3:uid="{3B625679-7478-8F4B-BA9A-60453A60A5A1}" name="18" totalsRowFunction="count" dataDxfId="702" totalsRowDxfId="701"/>
    <tableColumn id="20" xr3:uid="{76A18104-182E-674D-AC0F-4773CDF8B8B6}" name="19" totalsRowFunction="count" dataDxfId="700" totalsRowDxfId="699"/>
    <tableColumn id="21" xr3:uid="{8F042647-D716-8F40-BAD9-C08787C0ED1D}" name="20" totalsRowFunction="count" dataDxfId="698" totalsRowDxfId="697"/>
    <tableColumn id="22" xr3:uid="{19F314B1-05F0-184A-B928-54B62A87E7A3}" name="21" totalsRowFunction="count" dataDxfId="696" totalsRowDxfId="695"/>
    <tableColumn id="23" xr3:uid="{35BC3275-F959-1E4B-AFF6-51AF1632088A}" name="22" totalsRowFunction="count" dataDxfId="694" totalsRowDxfId="693"/>
    <tableColumn id="24" xr3:uid="{61EC0CA0-9E82-4244-83B5-7114304289A9}" name="23" totalsRowFunction="count" dataDxfId="692" totalsRowDxfId="691"/>
    <tableColumn id="25" xr3:uid="{D62CC8DE-63AB-1249-8E62-AE81867CCDAD}" name="24" totalsRowFunction="count" dataDxfId="690" totalsRowDxfId="689"/>
    <tableColumn id="26" xr3:uid="{F20E4CEE-2B58-C742-9F64-CA872F5C13AE}" name="25" totalsRowFunction="count" dataDxfId="688" totalsRowDxfId="687"/>
    <tableColumn id="27" xr3:uid="{14AC3D1E-AC93-F44D-9CB6-A1AE1EFABAC8}" name="26" totalsRowFunction="count" dataDxfId="686" totalsRowDxfId="685"/>
    <tableColumn id="28" xr3:uid="{608F268D-AA49-A445-A7AC-1CEB5B7BB785}" name="27" totalsRowFunction="count" dataDxfId="684" totalsRowDxfId="683"/>
    <tableColumn id="29" xr3:uid="{67BFC7B6-C54A-9048-95FD-1E987F14F989}" name="28" totalsRowFunction="count" dataDxfId="682" totalsRowDxfId="681"/>
    <tableColumn id="30" xr3:uid="{8D322695-0E9C-D346-9927-D6D09D07A1C9}" name="29" totalsRowFunction="count" dataDxfId="680" totalsRowDxfId="679"/>
    <tableColumn id="31" xr3:uid="{D4FADE5D-6CB3-E344-9A70-1E36333A0422}" name="30" totalsRowFunction="count" dataDxfId="678" totalsRowDxfId="677"/>
    <tableColumn id="32" xr3:uid="{471566F6-A654-2D4B-A780-F8F9C8EF0624}" name="31" totalsRowFunction="count" dataDxfId="676" totalsRowDxfId="675"/>
    <tableColumn id="33" xr3:uid="{DB14E385-864F-9847-B49A-8C9E0E614F80}" name="Total " totalsRowFunction="sum" dataDxfId="674" totalsRowDxfId="673">
      <calculatedColumnFormula>COUNTA(Décembre678910[[#This Row],[1]:[31]])</calculatedColumnFormula>
    </tableColumn>
    <tableColumn id="34" xr3:uid="{3CCD234D-E9FE-DD40-9A2F-BA7FD0F48960}" name="Acompte" dataDxfId="672" totalsRowDxfId="671"/>
    <tableColumn id="37" xr3:uid="{ED3EAC94-A932-F948-B2CC-B1A46375B40B}" name="Reste dû " dataDxfId="670" totalsRowDxfId="669">
      <calculatedColumnFormula>(AH7)-(AI7)</calculatedColumnFormula>
    </tableColumn>
    <tableColumn id="36" xr3:uid="{02D91FB5-EA55-8440-A512-6E6D46B917A2}" name="CDC" dataDxfId="668" totalsRowDxfId="667"/>
    <tableColumn id="35" xr3:uid="{F4B191AF-4BCD-D24D-A125-E9D14576E64D}" name="Commentaire" dataDxfId="666" totalsRowDxfId="665">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F7A1509-B236-FC4A-9807-F14DB5F6E20A}" name="Décembre67891011" displayName="Décembre67891011" ref="B6:AK11" totalsRowCount="1" headerRowDxfId="654" dataDxfId="653" totalsRowDxfId="652">
  <tableColumns count="36">
    <tableColumn id="1" xr3:uid="{136E3D63-9A27-B54B-96DD-1EB18BBD658D}" name="Nom des locataires" dataDxfId="651" totalsRowDxfId="650" dataCellStyle="Employé"/>
    <tableColumn id="2" xr3:uid="{E5B9B630-FB68-BD42-99E5-0EE330893055}" name="1" totalsRowFunction="count" dataDxfId="649" totalsRowDxfId="648"/>
    <tableColumn id="3" xr3:uid="{489EE19C-724A-1A47-8250-241147E370C0}" name="2" totalsRowFunction="count" dataDxfId="647" totalsRowDxfId="646"/>
    <tableColumn id="4" xr3:uid="{76FB4D1E-F1E4-4644-B085-FA435041E1CB}" name="3" totalsRowFunction="count" dataDxfId="645" totalsRowDxfId="644"/>
    <tableColumn id="5" xr3:uid="{B8E99568-5B94-C143-BF00-A6BA43F61138}" name="4" totalsRowFunction="count" dataDxfId="643" totalsRowDxfId="642"/>
    <tableColumn id="6" xr3:uid="{4A6C8C40-900D-7B44-A22B-166483390EF8}" name="5" totalsRowFunction="count" dataDxfId="641" totalsRowDxfId="640"/>
    <tableColumn id="7" xr3:uid="{397C4DE5-B87C-D340-AE46-E51FA69104FF}" name="6" totalsRowFunction="count" dataDxfId="639" totalsRowDxfId="638"/>
    <tableColumn id="8" xr3:uid="{1EFE1C46-07BC-3A4B-B988-E022FA288A65}" name="7" totalsRowFunction="count" dataDxfId="637" totalsRowDxfId="636"/>
    <tableColumn id="9" xr3:uid="{FF567C6C-765C-754B-82F4-5215EC27C9F6}" name="8" totalsRowFunction="count" dataDxfId="635" totalsRowDxfId="634"/>
    <tableColumn id="10" xr3:uid="{2152BE9F-607B-8345-A74A-CD1DB68A5F81}" name="9" totalsRowFunction="count" dataDxfId="633" totalsRowDxfId="632"/>
    <tableColumn id="11" xr3:uid="{F0FA8E23-C737-DD45-A06D-E3F4E4D7D801}" name="10" totalsRowFunction="count" dataDxfId="631" totalsRowDxfId="630"/>
    <tableColumn id="12" xr3:uid="{2A7ADCDE-1B54-404E-85C9-0E6138B3D019}" name="11" totalsRowFunction="count" dataDxfId="629" totalsRowDxfId="628"/>
    <tableColumn id="13" xr3:uid="{BA78935B-B109-F742-9260-420CA9210C6F}" name="12" totalsRowFunction="count" dataDxfId="627" totalsRowDxfId="626"/>
    <tableColumn id="14" xr3:uid="{4DE22F39-179D-F84C-8779-1D83070D6F4B}" name="13" totalsRowFunction="count" dataDxfId="625" totalsRowDxfId="624"/>
    <tableColumn id="15" xr3:uid="{C9B49CCD-49AD-344F-A5CE-545709586980}" name="14" totalsRowFunction="count" dataDxfId="623" totalsRowDxfId="622"/>
    <tableColumn id="16" xr3:uid="{2CFCAFA0-D973-F540-BA1B-341F74BE232F}" name="15" totalsRowFunction="count" dataDxfId="621" totalsRowDxfId="620"/>
    <tableColumn id="17" xr3:uid="{DFBB6561-3D45-8F4D-B298-2E0A58353007}" name="16" totalsRowFunction="count" dataDxfId="619" totalsRowDxfId="618"/>
    <tableColumn id="18" xr3:uid="{97917DB3-CD6B-EC4B-AE17-810FA8B6FF43}" name="17" totalsRowFunction="count" dataDxfId="617" totalsRowDxfId="616"/>
    <tableColumn id="19" xr3:uid="{A8EFE893-EB32-5E4E-BF3A-95BD4DCD7B97}" name="18" totalsRowFunction="count" dataDxfId="615" totalsRowDxfId="614"/>
    <tableColumn id="20" xr3:uid="{0BA41CF0-F033-684D-97D9-5CE3A4A37434}" name="19" totalsRowFunction="count" dataDxfId="613" totalsRowDxfId="612"/>
    <tableColumn id="21" xr3:uid="{F185B03C-3169-0C42-B133-10B5CA5CE55C}" name="20" totalsRowFunction="count" dataDxfId="611" totalsRowDxfId="610"/>
    <tableColumn id="22" xr3:uid="{A477833C-4AAC-034B-A219-672D31DBDA08}" name="21" totalsRowFunction="count" dataDxfId="609" totalsRowDxfId="608"/>
    <tableColumn id="23" xr3:uid="{DCE314FC-DF0C-754A-8836-4C4349E3B827}" name="22" totalsRowFunction="count" dataDxfId="607" totalsRowDxfId="606"/>
    <tableColumn id="24" xr3:uid="{66C68D4C-46F0-A04E-8FE4-735FE66F7CB7}" name="23" totalsRowFunction="count" dataDxfId="605" totalsRowDxfId="604"/>
    <tableColumn id="25" xr3:uid="{18266CAB-B8B3-8747-9E3D-9EA7EBE4F9BE}" name="24" totalsRowFunction="count" dataDxfId="603" totalsRowDxfId="602"/>
    <tableColumn id="26" xr3:uid="{DC4FC4DA-0042-9C4B-954C-E3180B322D77}" name="25" totalsRowFunction="count" dataDxfId="601" totalsRowDxfId="600"/>
    <tableColumn id="27" xr3:uid="{A4F71B7A-62EF-A64A-B2E6-2BD7452346D7}" name="26" totalsRowFunction="count" dataDxfId="599" totalsRowDxfId="598"/>
    <tableColumn id="28" xr3:uid="{FCFCC359-96F7-274F-ABBB-C78D46C9B07C}" name="27" totalsRowFunction="count" dataDxfId="597" totalsRowDxfId="596"/>
    <tableColumn id="29" xr3:uid="{588F5669-C738-F847-ADDB-12156EE61060}" name="28" totalsRowFunction="count" dataDxfId="595" totalsRowDxfId="594"/>
    <tableColumn id="30" xr3:uid="{DC4CF441-23D9-D24D-A6AE-08108C01987C}" name="29" totalsRowFunction="count" dataDxfId="593" totalsRowDxfId="592"/>
    <tableColumn id="31" xr3:uid="{B50A15A2-1B8B-C74D-AE04-A7378BE3AB1C}" name="30" totalsRowFunction="count" dataDxfId="591" totalsRowDxfId="590"/>
    <tableColumn id="33" xr3:uid="{3A20BF76-B2AE-CD44-AFFA-A6C50406238C}" name="Total " totalsRowFunction="sum" dataDxfId="589" totalsRowDxfId="588">
      <calculatedColumnFormula>COUNTA(#REF!)</calculatedColumnFormula>
    </tableColumn>
    <tableColumn id="34" xr3:uid="{86BD0C24-F75C-9E4D-8413-A160F71B21A8}" name="Acompte" dataDxfId="587" totalsRowDxfId="586"/>
    <tableColumn id="37" xr3:uid="{BB57024B-BC7B-1D42-B59F-D5EE78E512C2}" name="Reste dû " dataDxfId="585" totalsRowDxfId="584">
      <calculatedColumnFormula>(AG7)-(AH7)</calculatedColumnFormula>
    </tableColumn>
    <tableColumn id="36" xr3:uid="{9DCB9EA4-A436-3042-8BEA-F2A4DE9C0D07}" name="CDC" dataDxfId="583" totalsRowDxfId="582"/>
    <tableColumn id="35" xr3:uid="{01EFAD2A-8DBA-3F46-9AF0-36BEA936E99F}" name="Commentaire" dataDxfId="581" totalsRowDxfId="580">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402B54-AB46-244F-A40F-C794245EDF93}" name="Décembre6789101112" displayName="Décembre6789101112" ref="B6:AL11" totalsRowCount="1" headerRowDxfId="574" dataDxfId="573" totalsRowDxfId="572">
  <tableColumns count="37">
    <tableColumn id="1" xr3:uid="{3F325AB6-47B7-2B4F-904B-17DAB16757BC}" name="Nom des locataires" dataDxfId="571" totalsRowDxfId="73" dataCellStyle="Employé"/>
    <tableColumn id="2" xr3:uid="{BC0DED78-D98B-834E-A28E-16ABA2718D5D}" name="1" totalsRowFunction="count" dataDxfId="570" totalsRowDxfId="72"/>
    <tableColumn id="3" xr3:uid="{599B0857-3133-1D48-90FD-0A96DE0A1F18}" name="2" totalsRowFunction="count" dataDxfId="569" totalsRowDxfId="71"/>
    <tableColumn id="4" xr3:uid="{3C911F77-CE30-7445-88E1-EB5432AEB8AC}" name="3" totalsRowFunction="count" dataDxfId="568" totalsRowDxfId="70"/>
    <tableColumn id="5" xr3:uid="{3654A48D-1747-E445-974C-CBD208CB27A2}" name="4" totalsRowFunction="count" dataDxfId="567" totalsRowDxfId="69"/>
    <tableColumn id="6" xr3:uid="{880B461B-4959-0947-9E9B-F7709C650549}" name="5" totalsRowFunction="count" dataDxfId="566" totalsRowDxfId="68"/>
    <tableColumn id="7" xr3:uid="{C10CBA81-CB91-F445-A685-90FEB75A6A1E}" name="6" totalsRowFunction="count" dataDxfId="565" totalsRowDxfId="67"/>
    <tableColumn id="8" xr3:uid="{B0932AAD-E4BE-0A40-9F28-AE2BED3F0E93}" name="7" totalsRowFunction="count" dataDxfId="564" totalsRowDxfId="66"/>
    <tableColumn id="9" xr3:uid="{E1564EFA-6228-934C-9C92-9D812C00DC31}" name="8" totalsRowFunction="count" dataDxfId="563" totalsRowDxfId="65"/>
    <tableColumn id="10" xr3:uid="{568A13F9-B8F2-4940-8F31-27968D1ED962}" name="9" totalsRowFunction="count" dataDxfId="562" totalsRowDxfId="64"/>
    <tableColumn id="11" xr3:uid="{E414533A-5975-C14E-A762-A348225C1C5C}" name="10" totalsRowFunction="count" dataDxfId="561" totalsRowDxfId="63"/>
    <tableColumn id="12" xr3:uid="{5E29E332-39E8-0842-8AF4-4246BD2E2287}" name="11" totalsRowFunction="count" dataDxfId="560" totalsRowDxfId="62"/>
    <tableColumn id="13" xr3:uid="{09FD1BC6-19AC-E14C-8A74-5999ACC2DB8E}" name="12" totalsRowFunction="count" dataDxfId="559" totalsRowDxfId="61"/>
    <tableColumn id="14" xr3:uid="{759D933F-F795-9E48-BAD0-B9CDF1E40053}" name="13" totalsRowFunction="count" dataDxfId="558" totalsRowDxfId="60"/>
    <tableColumn id="15" xr3:uid="{179B36EF-E0A2-8E4F-A5B6-5A13BDE5D548}" name="14" totalsRowFunction="count" dataDxfId="557" totalsRowDxfId="59"/>
    <tableColumn id="16" xr3:uid="{9DACF3A8-004B-4144-B363-F842C5AF0FF7}" name="15" totalsRowFunction="count" dataDxfId="556" totalsRowDxfId="58"/>
    <tableColumn id="17" xr3:uid="{EB29400D-7A9E-734F-839E-CB1BF63BB8ED}" name="16" totalsRowFunction="count" dataDxfId="555" totalsRowDxfId="57"/>
    <tableColumn id="18" xr3:uid="{FF0BDDD6-AF6B-D348-AEDA-EAD4ADBAE1E8}" name="17" totalsRowFunction="count" dataDxfId="554" totalsRowDxfId="56"/>
    <tableColumn id="19" xr3:uid="{FC31CA9C-9EE6-6A40-869D-600E40DBE8A5}" name="18" totalsRowFunction="count" dataDxfId="553" totalsRowDxfId="55"/>
    <tableColumn id="20" xr3:uid="{2802AFF7-3052-794C-A257-53ED85783377}" name="19" totalsRowFunction="count" dataDxfId="552" totalsRowDxfId="54"/>
    <tableColumn id="21" xr3:uid="{870710FE-611A-8E4B-B154-F7A2A537A645}" name="20" totalsRowFunction="count" dataDxfId="551" totalsRowDxfId="53"/>
    <tableColumn id="22" xr3:uid="{BC01112E-2FBD-6440-9E92-2D05C8CF5416}" name="21" totalsRowFunction="count" dataDxfId="550" totalsRowDxfId="52"/>
    <tableColumn id="23" xr3:uid="{836271D8-911D-2D42-85A4-20599BCB9A16}" name="22" totalsRowFunction="count" dataDxfId="549" totalsRowDxfId="51"/>
    <tableColumn id="24" xr3:uid="{E4DC870E-5986-C141-900B-05A3759554FD}" name="23" totalsRowFunction="count" dataDxfId="548" totalsRowDxfId="50"/>
    <tableColumn id="25" xr3:uid="{4293B88D-EA71-C74E-B016-205BCF82CD09}" name="24" totalsRowFunction="count" dataDxfId="547" totalsRowDxfId="49"/>
    <tableColumn id="26" xr3:uid="{A0897C6D-55C5-A14E-9CE6-0C555248508E}" name="25" totalsRowFunction="count" dataDxfId="546" totalsRowDxfId="48"/>
    <tableColumn id="27" xr3:uid="{540CD0FE-C045-8D4B-AA60-F55EE647F312}" name="26" totalsRowFunction="count" dataDxfId="545" totalsRowDxfId="47"/>
    <tableColumn id="28" xr3:uid="{4218CB43-3D86-9C42-87B0-0E917313AE7E}" name="27" totalsRowFunction="count" dataDxfId="544" totalsRowDxfId="46"/>
    <tableColumn id="29" xr3:uid="{F5B9786F-D0AC-3C46-9AB1-10DB7EF26F8A}" name="28" totalsRowFunction="count" dataDxfId="543" totalsRowDxfId="45"/>
    <tableColumn id="30" xr3:uid="{8AAE23CD-B4BB-C34B-ABDE-1C861F3D8571}" name="29" totalsRowFunction="count" dataDxfId="542" totalsRowDxfId="44"/>
    <tableColumn id="31" xr3:uid="{87E93ABC-6B07-F84D-9BCA-B823F1257798}" name="30" totalsRowFunction="count" dataDxfId="541" totalsRowDxfId="43"/>
    <tableColumn id="32" xr3:uid="{80221932-9786-2149-82F5-2A2C937E055A}" name="31" totalsRowFunction="count" dataDxfId="540" totalsRowDxfId="42"/>
    <tableColumn id="33" xr3:uid="{F24A64BF-96FC-854E-8204-FFF60499F227}" name="Total " totalsRowFunction="sum" dataDxfId="539" totalsRowDxfId="41">
      <calculatedColumnFormula>COUNTA(Décembre6789101112[[#This Row],[1]:[31]])</calculatedColumnFormula>
    </tableColumn>
    <tableColumn id="34" xr3:uid="{8F87217C-A32C-964E-802E-1CB940D5E382}" name="Acompte" dataDxfId="538" totalsRowDxfId="40"/>
    <tableColumn id="37" xr3:uid="{4E02F171-C377-8545-8AFA-D3158A788853}" name="Reste dû " dataDxfId="537" totalsRowDxfId="39">
      <calculatedColumnFormula>(AH7)-(AI7)</calculatedColumnFormula>
    </tableColumn>
    <tableColumn id="36" xr3:uid="{09A42DA2-A6B4-8540-B72D-3037A64C0C73}" name="CDC" dataDxfId="536" totalsRowDxfId="38"/>
    <tableColumn id="35" xr3:uid="{819F5D9C-60ED-C547-9DF1-7C40AD902029}" name="Commentaire" dataDxfId="535" totalsRowDxfId="37">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BDC3C31-FC8A-8E42-82AC-4BC51FAD9FDC}" name="Décembre678910111214" displayName="Décembre678910111214" ref="B6:AL11" totalsRowCount="1" headerRowDxfId="529" dataDxfId="528" totalsRowDxfId="527">
  <tableColumns count="37">
    <tableColumn id="1" xr3:uid="{CABC310F-B208-E447-A422-DE95D30209CB}" name="Nom des locataires" dataDxfId="526" totalsRowDxfId="36" dataCellStyle="Employé"/>
    <tableColumn id="2" xr3:uid="{2AA5E099-0C81-5048-B0DD-A0FAF949ED34}" name="1" totalsRowFunction="count" dataDxfId="525" totalsRowDxfId="35"/>
    <tableColumn id="3" xr3:uid="{BA069C86-1159-A542-9C5E-A96A53F4BE02}" name="2" totalsRowFunction="count" dataDxfId="524" totalsRowDxfId="34"/>
    <tableColumn id="4" xr3:uid="{AE3D20BF-A16F-E04B-B585-1F695E5388AF}" name="3" totalsRowFunction="count" dataDxfId="523" totalsRowDxfId="33"/>
    <tableColumn id="5" xr3:uid="{1AC48B7A-0573-E947-9C1A-9BF9E61FCA5A}" name="4" totalsRowFunction="count" dataDxfId="522" totalsRowDxfId="32"/>
    <tableColumn id="6" xr3:uid="{2F5CE86B-97BD-0747-B899-5A75801C1A80}" name="5" totalsRowFunction="count" dataDxfId="521" totalsRowDxfId="31"/>
    <tableColumn id="7" xr3:uid="{8F60CD34-9836-6A41-99EC-B7BAA18701DD}" name="6" totalsRowFunction="count" dataDxfId="520" totalsRowDxfId="30"/>
    <tableColumn id="8" xr3:uid="{5FD3AC5F-E96C-F14F-B156-D43F45938CE3}" name="7" totalsRowFunction="count" dataDxfId="519" totalsRowDxfId="29"/>
    <tableColumn id="9" xr3:uid="{A4F801AD-13D0-AF4B-9E34-E19A30E542C1}" name="8" totalsRowFunction="count" dataDxfId="518" totalsRowDxfId="28"/>
    <tableColumn id="10" xr3:uid="{27DF01E1-280D-A84A-BA06-EFF8F1BA4E35}" name="9" totalsRowFunction="count" dataDxfId="517" totalsRowDxfId="27"/>
    <tableColumn id="11" xr3:uid="{4182184E-2F62-D645-BB43-BC90931031EB}" name="10" totalsRowFunction="count" dataDxfId="516" totalsRowDxfId="26"/>
    <tableColumn id="12" xr3:uid="{C29E4119-D4D6-DA4B-9EBE-38BC58979132}" name="11" totalsRowFunction="count" dataDxfId="515" totalsRowDxfId="25"/>
    <tableColumn id="13" xr3:uid="{8BAF8D9A-3FA1-EC4B-84BE-F615E2E9D007}" name="12" totalsRowFunction="count" dataDxfId="514" totalsRowDxfId="24"/>
    <tableColumn id="14" xr3:uid="{A9114E78-E9A2-2C40-B4A0-6EBE91FF885A}" name="13" totalsRowFunction="count" dataDxfId="513" totalsRowDxfId="23"/>
    <tableColumn id="15" xr3:uid="{B554B0D2-3C5F-4945-A556-3863B4C45227}" name="14" totalsRowFunction="count" dataDxfId="512" totalsRowDxfId="22"/>
    <tableColumn id="16" xr3:uid="{E1FF6B74-0D4A-F24B-803C-F618D848A45D}" name="15" totalsRowFunction="count" dataDxfId="511" totalsRowDxfId="21"/>
    <tableColumn id="17" xr3:uid="{924B223C-98A2-AD48-A3F6-B19A21720591}" name="16" totalsRowFunction="count" dataDxfId="510" totalsRowDxfId="20"/>
    <tableColumn id="18" xr3:uid="{4819A440-548A-764E-BE64-C76EAE98BCDC}" name="17" totalsRowFunction="count" dataDxfId="509" totalsRowDxfId="19"/>
    <tableColumn id="19" xr3:uid="{14D0912B-4B99-AE4A-9F37-23738BCB3EB6}" name="18" totalsRowFunction="count" dataDxfId="508" totalsRowDxfId="18"/>
    <tableColumn id="20" xr3:uid="{14806CFA-8F87-564E-9E00-B14CFDF0D11F}" name="19" totalsRowFunction="count" dataDxfId="507" totalsRowDxfId="17"/>
    <tableColumn id="21" xr3:uid="{8FAAD491-FFBA-B34D-8489-B573D5E7C6EE}" name="20" totalsRowFunction="count" dataDxfId="506" totalsRowDxfId="16"/>
    <tableColumn id="22" xr3:uid="{429F6F0B-39FB-EC48-94A5-02C3BCAFACC3}" name="21" totalsRowFunction="count" dataDxfId="505" totalsRowDxfId="15"/>
    <tableColumn id="23" xr3:uid="{8A2470AC-4340-0547-9BB2-C6F382BEC948}" name="22" totalsRowFunction="count" dataDxfId="504" totalsRowDxfId="14"/>
    <tableColumn id="24" xr3:uid="{CB5BE566-582F-7145-BB0B-B5800208B8EC}" name="23" totalsRowFunction="count" dataDxfId="503" totalsRowDxfId="13"/>
    <tableColumn id="25" xr3:uid="{89F9D3A6-4712-E943-A70F-48D5F18FBAE5}" name="24" totalsRowFunction="count" dataDxfId="502" totalsRowDxfId="12"/>
    <tableColumn id="26" xr3:uid="{E21B0372-762E-D740-B0B7-66B07942774C}" name="25" totalsRowFunction="count" dataDxfId="501" totalsRowDxfId="11"/>
    <tableColumn id="27" xr3:uid="{90ABFE00-B694-6448-855A-13D0F0A8F045}" name="26" totalsRowFunction="count" dataDxfId="500" totalsRowDxfId="10"/>
    <tableColumn id="28" xr3:uid="{56C231C4-3B1C-A741-AC15-B540153DCCDE}" name="27" totalsRowFunction="count" dataDxfId="499" totalsRowDxfId="9"/>
    <tableColumn id="29" xr3:uid="{A2BCEBB2-7E1D-C74A-925E-3F56143AA0B4}" name="28" totalsRowFunction="count" dataDxfId="498" totalsRowDxfId="8"/>
    <tableColumn id="30" xr3:uid="{16CE3059-3530-D54C-BD9F-0429B35F78D5}" name="29" totalsRowFunction="count" dataDxfId="497" totalsRowDxfId="7"/>
    <tableColumn id="31" xr3:uid="{34968A92-C8F1-6448-9641-039C6AAA8A68}" name="30" totalsRowFunction="count" dataDxfId="496" totalsRowDxfId="6"/>
    <tableColumn id="32" xr3:uid="{26CEF0E9-1567-B041-AA27-032FD3F14602}" name="31" totalsRowFunction="count" dataDxfId="495" totalsRowDxfId="5"/>
    <tableColumn id="33" xr3:uid="{F852BE6F-061D-0245-A169-684B5DC68B63}" name="Total " totalsRowFunction="sum" dataDxfId="494" totalsRowDxfId="4">
      <calculatedColumnFormula>COUNTA(Décembre678910111214[[#This Row],[1]:[31]])</calculatedColumnFormula>
    </tableColumn>
    <tableColumn id="34" xr3:uid="{1FA06AF6-2C2A-C749-98F1-0C0B64AD56C0}" name="Acompte" dataDxfId="493" totalsRowDxfId="3"/>
    <tableColumn id="37" xr3:uid="{6CC8E023-787B-004A-8809-6D6834444BC6}" name="Reste dû " dataDxfId="492" totalsRowDxfId="2">
      <calculatedColumnFormula>(AH7)-(AI7)</calculatedColumnFormula>
    </tableColumn>
    <tableColumn id="36" xr3:uid="{DE24A77D-DBD6-2243-BCB4-516FFF65BB53}" name="CDC" dataDxfId="491" totalsRowDxfId="1"/>
    <tableColumn id="35" xr3:uid="{E91FB0B9-80E1-7541-941D-080B8009CB87}" name="Commentaire" dataDxfId="490" totalsRowDxfId="0">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AL23"/>
  <sheetViews>
    <sheetView showGridLines="0" topLeftCell="A12" zoomScaleNormal="100" workbookViewId="0">
      <selection activeCell="AB16" sqref="AB16"/>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7" width="8.1640625"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8" t="s">
        <v>42</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8">
        <v>2019</v>
      </c>
    </row>
    <row r="5" spans="2:38" ht="15" customHeight="1">
      <c r="B5" s="8"/>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 t="s">
        <v>56</v>
      </c>
      <c r="AH5" s="8"/>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74</v>
      </c>
      <c r="C7" s="18"/>
      <c r="D7" s="18"/>
      <c r="E7" s="18"/>
      <c r="F7" s="18"/>
      <c r="G7" s="18"/>
      <c r="H7" s="18"/>
      <c r="I7" s="18"/>
      <c r="J7" s="18"/>
      <c r="K7" s="18"/>
      <c r="L7" s="18"/>
      <c r="M7" s="18"/>
      <c r="N7" s="18"/>
      <c r="O7" s="18"/>
      <c r="P7" s="18"/>
      <c r="Q7" s="18"/>
      <c r="R7" s="2"/>
      <c r="S7" s="2"/>
      <c r="T7" s="2"/>
      <c r="U7" s="2"/>
      <c r="V7" s="2"/>
      <c r="W7" s="2"/>
      <c r="X7" s="2"/>
      <c r="Y7" s="2"/>
      <c r="Z7" s="2"/>
      <c r="AA7" s="2"/>
      <c r="AB7" s="2"/>
      <c r="AC7" s="2"/>
      <c r="AD7" s="2"/>
      <c r="AE7" s="2"/>
      <c r="AF7" s="2"/>
      <c r="AG7" s="2"/>
      <c r="AH7" s="32">
        <v>580</v>
      </c>
      <c r="AI7" s="20">
        <v>150</v>
      </c>
      <c r="AJ7" s="26">
        <f t="shared" ref="AJ7:AJ10" si="0">(AH7)-(AI7)</f>
        <v>430</v>
      </c>
      <c r="AK7" s="20">
        <v>200</v>
      </c>
      <c r="AL7" s="20" t="s">
        <v>64</v>
      </c>
    </row>
    <row r="8" spans="2:38" ht="30" customHeight="1">
      <c r="B8" s="17" t="s">
        <v>73</v>
      </c>
      <c r="C8" s="2"/>
      <c r="D8" s="2"/>
      <c r="E8" s="2"/>
      <c r="F8" s="2"/>
      <c r="G8" s="2"/>
      <c r="H8" s="2"/>
      <c r="I8" s="2"/>
      <c r="J8" s="2"/>
      <c r="K8" s="2"/>
      <c r="L8" s="2"/>
      <c r="M8" s="2"/>
      <c r="N8" s="2"/>
      <c r="O8" s="2"/>
      <c r="P8" s="2"/>
      <c r="Q8" s="2"/>
      <c r="R8" s="2"/>
      <c r="S8" s="2"/>
      <c r="T8" s="2"/>
      <c r="U8" s="2"/>
      <c r="V8" s="2"/>
      <c r="W8" s="2"/>
      <c r="X8" s="2"/>
      <c r="Y8" s="2"/>
      <c r="Z8" s="2"/>
      <c r="AA8" s="18"/>
      <c r="AB8" s="18"/>
      <c r="AC8" s="18"/>
      <c r="AD8" s="18"/>
      <c r="AE8" s="18"/>
      <c r="AF8" s="18"/>
      <c r="AG8" s="18"/>
      <c r="AH8" s="32">
        <v>200</v>
      </c>
      <c r="AI8" s="21"/>
      <c r="AJ8" s="26">
        <f t="shared" si="0"/>
        <v>200</v>
      </c>
      <c r="AK8" s="21"/>
      <c r="AL8" s="20"/>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32">
        <f>COUNTA(Décembre[[#This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32">
        <f>COUNTA(Décembre[[#This Row],[1]:[31]])</f>
        <v>0</v>
      </c>
      <c r="AI10" s="21"/>
      <c r="AJ10" s="26">
        <f t="shared" si="0"/>
        <v>0</v>
      </c>
      <c r="AK10" s="21"/>
      <c r="AL10" s="20"/>
    </row>
    <row r="11" spans="2:38" ht="30" customHeight="1">
      <c r="B11" s="12"/>
      <c r="C11" s="9">
        <f>SUBTOTAL(103,Décembre[1])</f>
        <v>0</v>
      </c>
      <c r="D11" s="9">
        <f>SUBTOTAL(103,Décembre[2])</f>
        <v>0</v>
      </c>
      <c r="E11" s="9">
        <f>SUBTOTAL(103,Décembre[3])</f>
        <v>0</v>
      </c>
      <c r="F11" s="9">
        <f>SUBTOTAL(103,Décembre[4])</f>
        <v>0</v>
      </c>
      <c r="G11" s="9">
        <f>SUBTOTAL(103,Décembre[5])</f>
        <v>0</v>
      </c>
      <c r="H11" s="9">
        <f>SUBTOTAL(103,Décembre[6])</f>
        <v>0</v>
      </c>
      <c r="I11" s="9">
        <f>SUBTOTAL(103,Décembre[7])</f>
        <v>0</v>
      </c>
      <c r="J11" s="9">
        <f>SUBTOTAL(103,Décembre[8])</f>
        <v>0</v>
      </c>
      <c r="K11" s="9">
        <f>SUBTOTAL(103,Décembre[9])</f>
        <v>0</v>
      </c>
      <c r="L11" s="9">
        <f>SUBTOTAL(103,Décembre[10])</f>
        <v>0</v>
      </c>
      <c r="M11" s="9">
        <f>SUBTOTAL(103,Décembre[11])</f>
        <v>0</v>
      </c>
      <c r="N11" s="9">
        <f>SUBTOTAL(103,Décembre[12])</f>
        <v>0</v>
      </c>
      <c r="O11" s="9">
        <f>SUBTOTAL(103,Décembre[13])</f>
        <v>0</v>
      </c>
      <c r="P11" s="9">
        <f>SUBTOTAL(103,Décembre[14])</f>
        <v>0</v>
      </c>
      <c r="Q11" s="9">
        <f>SUBTOTAL(103,Décembre[15])</f>
        <v>0</v>
      </c>
      <c r="R11" s="9">
        <f>SUBTOTAL(103,Décembre[16])</f>
        <v>0</v>
      </c>
      <c r="S11" s="9">
        <f>SUBTOTAL(103,Décembre[17])</f>
        <v>0</v>
      </c>
      <c r="T11" s="9">
        <f>SUBTOTAL(103,Décembre[18])</f>
        <v>0</v>
      </c>
      <c r="U11" s="9">
        <f>SUBTOTAL(103,Décembre[19])</f>
        <v>0</v>
      </c>
      <c r="V11" s="9">
        <f>SUBTOTAL(103,Décembre[20])</f>
        <v>0</v>
      </c>
      <c r="W11" s="9">
        <f>SUBTOTAL(103,Décembre[21])</f>
        <v>0</v>
      </c>
      <c r="X11" s="9">
        <f>SUBTOTAL(103,Décembre[22])</f>
        <v>0</v>
      </c>
      <c r="Y11" s="9">
        <f>SUBTOTAL(103,Décembre[23])</f>
        <v>0</v>
      </c>
      <c r="Z11" s="9">
        <f>SUBTOTAL(103,Décembre[24])</f>
        <v>0</v>
      </c>
      <c r="AA11" s="9">
        <f>SUBTOTAL(103,Décembre[25])</f>
        <v>0</v>
      </c>
      <c r="AB11" s="9">
        <f>SUBTOTAL(103,Décembre[26])</f>
        <v>0</v>
      </c>
      <c r="AC11" s="9">
        <f>SUBTOTAL(103,Décembre[27])</f>
        <v>0</v>
      </c>
      <c r="AD11" s="9">
        <f>SUBTOTAL(103,Décembre[28])</f>
        <v>0</v>
      </c>
      <c r="AE11" s="9">
        <f>SUBTOTAL(103,Décembre[29])</f>
        <v>0</v>
      </c>
      <c r="AF11" s="9">
        <f>SUBTOTAL(103,Décembre[30])</f>
        <v>0</v>
      </c>
      <c r="AG11" s="9">
        <f>SUBTOTAL(103,Décembre[31])</f>
        <v>0</v>
      </c>
      <c r="AH11" s="33">
        <f>SUBTOTAL(109,Décembre[[Total ]])</f>
        <v>780</v>
      </c>
      <c r="AI11" s="22"/>
      <c r="AJ11" s="22"/>
      <c r="AK11" s="22"/>
      <c r="AL11" s="22"/>
    </row>
    <row r="13" spans="2:38" ht="30" customHeight="1">
      <c r="B13" s="29" t="s">
        <v>72</v>
      </c>
      <c r="C13" s="64">
        <f>SUM(C14:C17)</f>
        <v>180</v>
      </c>
      <c r="D13" s="64"/>
    </row>
    <row r="14" spans="2:38" ht="30" customHeight="1">
      <c r="B14" s="27" t="s">
        <v>47</v>
      </c>
      <c r="C14" s="28">
        <v>60</v>
      </c>
    </row>
    <row r="15" spans="2:38" ht="30" customHeight="1">
      <c r="B15" s="27" t="s">
        <v>48</v>
      </c>
      <c r="C15" s="28">
        <v>60</v>
      </c>
    </row>
    <row r="16" spans="2:38" ht="30" customHeight="1">
      <c r="B16" s="27" t="s">
        <v>82</v>
      </c>
      <c r="C16" s="28">
        <v>60</v>
      </c>
    </row>
    <row r="17" spans="2:3" ht="30" customHeight="1">
      <c r="B17" s="27"/>
      <c r="C17" s="28"/>
    </row>
    <row r="19" spans="2:3" ht="30" customHeight="1">
      <c r="B19" s="30" t="s">
        <v>76</v>
      </c>
      <c r="C19" s="7" t="s">
        <v>78</v>
      </c>
    </row>
    <row r="20" spans="2:3" ht="30" customHeight="1">
      <c r="B20" s="7">
        <v>580</v>
      </c>
    </row>
    <row r="21" spans="2:3" ht="30" customHeight="1">
      <c r="B21" s="7">
        <v>150</v>
      </c>
    </row>
    <row r="22" spans="2:3" ht="30" customHeight="1">
      <c r="B22" s="7">
        <f>B20-B21</f>
        <v>430</v>
      </c>
    </row>
    <row r="23" spans="2:3" ht="30" customHeight="1">
      <c r="B23" s="31">
        <f>B22-C13</f>
        <v>250</v>
      </c>
      <c r="C23" s="7" t="s">
        <v>97</v>
      </c>
    </row>
  </sheetData>
  <mergeCells count="7">
    <mergeCell ref="C13:D13"/>
    <mergeCell ref="C4:AG4"/>
    <mergeCell ref="D2:E2"/>
    <mergeCell ref="N2:Q2"/>
    <mergeCell ref="S2:V2"/>
    <mergeCell ref="G2:H2"/>
    <mergeCell ref="J2:M2"/>
  </mergeCells>
  <conditionalFormatting sqref="C7:AG10">
    <cfRule type="expression" priority="1" stopIfTrue="1">
      <formula>C7=""</formula>
    </cfRule>
  </conditionalFormatting>
  <conditionalFormatting sqref="C7:AG10">
    <cfRule type="expression" dxfId="1164" priority="2" stopIfTrue="1">
      <formula>C7=CléPersonnalisée2</formula>
    </cfRule>
    <cfRule type="expression" dxfId="1163" priority="3" stopIfTrue="1">
      <formula>C7=CléPersonnalisée1</formula>
    </cfRule>
    <cfRule type="expression" dxfId="1162" priority="4" stopIfTrue="1">
      <formula>C7=CléMaladie</formula>
    </cfRule>
    <cfRule type="expression" dxfId="1161" priority="5" stopIfTrue="1">
      <formula>C7=CléPersonnel</formula>
    </cfRule>
    <cfRule type="expression" dxfId="1160" priority="6" stopIfTrue="1">
      <formula>C7=CléCongé</formula>
    </cfRule>
  </conditionalFormatting>
  <conditionalFormatting sqref="AH7:AH10">
    <cfRule type="dataBar" priority="169">
      <dataBar>
        <cfvo type="min"/>
        <cfvo type="formula" val="DATEDIF(DATE(AnnéeCalendrier,2,1),DATE(AnnéeCalendrier,3,1),&quot;d&quot;)"/>
        <color theme="2" tint="-0.249977111117893"/>
      </dataBar>
      <extLst>
        <ext xmlns:x14="http://schemas.microsoft.com/office/spreadsheetml/2009/9/main" uri="{B025F937-C7B1-47D3-B67F-A62EFF666E3E}">
          <x14:id>{17586780-365B-4F4C-BBB4-F5991705D361}</x14:id>
        </ext>
      </extLst>
    </cfRule>
  </conditionalFormatting>
  <dataValidations count="6">
    <dataValidation allowBlank="1" showInputMessage="1" showErrorMessage="1" prompt="Année mise à jour automatiquement en fonction de l’année entrée dans la feuille de calcul Janvier" sqref="AH4" xr:uid="{00000000-0002-0000-0B00-000000000000}"/>
    <dataValidation allowBlank="1" showInputMessage="1" showErrorMessage="1" prompt="Suivez les absences du mois de décembre dans cette feuille de calcul" sqref="A1" xr:uid="{00000000-0002-0000-0B00-000002000000}"/>
    <dataValidation allowBlank="1" showInputMessage="1" showErrorMessage="1" prompt="Entrez une lettre et personnalisez l’étiquette à droite pour ajouter un élément de clé" sqref="R2" xr:uid="{00000000-0002-0000-0B00-000008000000}"/>
    <dataValidation allowBlank="1" showInputMessage="1" showErrorMessage="1" prompt="Entrez une étiquette pour décrire la clé personnalisée à gauche" sqref="N2 S2" xr:uid="{00000000-0002-0000-0B00-000009000000}"/>
    <dataValidation allowBlank="1" showInputMessage="1" showErrorMessage="1" prompt="Nom du mois pour ce calendrier des absences dans cette cellule. Le total des absences pour ce mois figure dans la dernière cellule du tableau. Sélectionnez les noms des employés dans la colonne B du tableau" sqref="B4" xr:uid="{00000000-0002-0000-0B00-00000B000000}"/>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00000000-0002-0000-0B00-00000D000000}"/>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8471-9B02-9846-9A84-E719726F5737}">
  <sheetPr>
    <tabColor theme="7" tint="0.79998168889431442"/>
  </sheetPr>
  <dimension ref="A1:AK11"/>
  <sheetViews>
    <sheetView showGridLines="0" zoomScaleNormal="100" workbookViewId="0">
      <selection activeCell="AK15" sqref="AK15"/>
    </sheetView>
  </sheetViews>
  <sheetFormatPr baseColWidth="10" defaultColWidth="9.1640625" defaultRowHeight="30" customHeight="1"/>
  <cols>
    <col min="1" max="1" width="2.6640625" style="7" customWidth="1"/>
    <col min="2" max="2" width="25.6640625" style="7" customWidth="1"/>
    <col min="3" max="32" width="4.6640625" style="7" customWidth="1"/>
    <col min="33" max="33" width="13.5" style="7" customWidth="1"/>
    <col min="34" max="35" width="9.1640625" customWidth="1"/>
    <col min="36" max="36" width="9" customWidth="1"/>
    <col min="37" max="37" width="21" customWidth="1"/>
  </cols>
  <sheetData>
    <row r="1" spans="2:37" ht="50" customHeight="1">
      <c r="B1" s="10" t="s">
        <v>65</v>
      </c>
    </row>
    <row r="2" spans="2:37" ht="15" customHeight="1">
      <c r="B2" s="14"/>
      <c r="C2" s="3"/>
      <c r="D2" s="66" t="s">
        <v>44</v>
      </c>
      <c r="E2" s="67"/>
      <c r="F2" s="4"/>
      <c r="G2" s="69" t="s">
        <v>59</v>
      </c>
      <c r="H2" s="69"/>
      <c r="I2" s="5"/>
      <c r="J2" s="69" t="s">
        <v>60</v>
      </c>
      <c r="K2" s="69"/>
      <c r="L2" s="69"/>
      <c r="M2" s="69"/>
      <c r="N2" s="68"/>
      <c r="O2" s="68"/>
      <c r="P2" s="68"/>
      <c r="Q2" s="68"/>
      <c r="R2" s="15"/>
      <c r="S2" s="68"/>
      <c r="T2" s="68"/>
      <c r="U2" s="68"/>
      <c r="V2" s="68"/>
    </row>
    <row r="3" spans="2:37" ht="15" customHeight="1">
      <c r="B3" s="10"/>
    </row>
    <row r="4" spans="2:37" ht="30" customHeight="1">
      <c r="B4" s="13" t="s">
        <v>39</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13">
        <v>2020</v>
      </c>
    </row>
    <row r="5" spans="2:37" ht="15" customHeight="1">
      <c r="B5" s="13"/>
      <c r="C5" s="1" t="s">
        <v>70</v>
      </c>
      <c r="D5" s="1" t="s">
        <v>57</v>
      </c>
      <c r="E5" s="1" t="s">
        <v>51</v>
      </c>
      <c r="F5" s="1" t="s">
        <v>52</v>
      </c>
      <c r="G5" s="1" t="s">
        <v>53</v>
      </c>
      <c r="H5" s="1" t="s">
        <v>54</v>
      </c>
      <c r="I5" s="1" t="s">
        <v>55</v>
      </c>
      <c r="J5" s="1" t="s">
        <v>56</v>
      </c>
      <c r="K5" s="1" t="s">
        <v>57</v>
      </c>
      <c r="L5" s="1" t="s">
        <v>51</v>
      </c>
      <c r="M5" s="1" t="s">
        <v>52</v>
      </c>
      <c r="N5" s="1" t="s">
        <v>53</v>
      </c>
      <c r="O5" s="1" t="s">
        <v>54</v>
      </c>
      <c r="P5" s="1" t="s">
        <v>55</v>
      </c>
      <c r="Q5" s="1" t="s">
        <v>56</v>
      </c>
      <c r="R5" s="1" t="s">
        <v>57</v>
      </c>
      <c r="S5" s="1" t="s">
        <v>51</v>
      </c>
      <c r="T5" s="1" t="s">
        <v>52</v>
      </c>
      <c r="U5" s="1" t="s">
        <v>53</v>
      </c>
      <c r="V5" s="1" t="s">
        <v>54</v>
      </c>
      <c r="W5" s="1" t="s">
        <v>55</v>
      </c>
      <c r="X5" s="1" t="s">
        <v>56</v>
      </c>
      <c r="Y5" s="1" t="s">
        <v>57</v>
      </c>
      <c r="Z5" s="1" t="s">
        <v>51</v>
      </c>
      <c r="AA5" s="1" t="s">
        <v>52</v>
      </c>
      <c r="AB5" s="1" t="s">
        <v>53</v>
      </c>
      <c r="AC5" s="1" t="s">
        <v>54</v>
      </c>
      <c r="AD5" s="1" t="s">
        <v>55</v>
      </c>
      <c r="AE5" s="1" t="s">
        <v>56</v>
      </c>
      <c r="AF5" s="1" t="s">
        <v>57</v>
      </c>
      <c r="AG5" s="13"/>
    </row>
    <row r="6" spans="2:37"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c r="B7" s="17" t="s">
        <v>84</v>
      </c>
      <c r="C7" s="2"/>
      <c r="D7" s="2"/>
      <c r="E7" s="2"/>
      <c r="F7" s="2"/>
      <c r="G7" s="2"/>
      <c r="H7" s="2"/>
      <c r="I7" s="2"/>
      <c r="J7" s="2"/>
      <c r="K7" s="18"/>
      <c r="L7" s="18"/>
      <c r="M7" s="18"/>
      <c r="N7" s="18"/>
      <c r="O7" s="18"/>
      <c r="P7" s="18"/>
      <c r="Q7" s="18"/>
      <c r="R7" s="18"/>
      <c r="S7" s="18"/>
      <c r="T7" s="18"/>
      <c r="U7" s="18"/>
      <c r="V7" s="18"/>
      <c r="W7" s="18"/>
      <c r="X7" s="2"/>
      <c r="Y7" s="2"/>
      <c r="Z7" s="2"/>
      <c r="AA7" s="2"/>
      <c r="AB7" s="2"/>
      <c r="AC7" s="2"/>
      <c r="AD7" s="2"/>
      <c r="AE7" s="2"/>
      <c r="AF7" s="2"/>
      <c r="AG7" s="44">
        <v>460</v>
      </c>
      <c r="AH7" s="45">
        <v>114</v>
      </c>
      <c r="AI7" s="42">
        <f t="shared" ref="AI7" si="0">(AG7)-(AH7)</f>
        <v>346</v>
      </c>
      <c r="AJ7" s="20"/>
      <c r="AK7" s="20"/>
    </row>
    <row r="8" spans="2:37"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6">
        <v>0</v>
      </c>
      <c r="AH8" s="21"/>
      <c r="AI8" s="26">
        <f t="shared" ref="AI8:AI10" si="1">(AG8)-(AH8)</f>
        <v>0</v>
      </c>
      <c r="AJ8" s="21"/>
      <c r="AK8" s="20"/>
    </row>
    <row r="9" spans="2:37"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1"/>
        <v>0</v>
      </c>
      <c r="AJ9" s="21"/>
      <c r="AK9" s="20"/>
    </row>
    <row r="10" spans="2:37"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1"/>
        <v>0</v>
      </c>
      <c r="AJ10" s="21"/>
      <c r="AK10" s="20"/>
    </row>
    <row r="11" spans="2:37" ht="30" customHeight="1">
      <c r="B11" s="12"/>
      <c r="C11" s="9">
        <f>SUBTOTAL(103,Décembre67891011121415[1])</f>
        <v>0</v>
      </c>
      <c r="D11" s="9">
        <f>SUBTOTAL(103,Décembre67891011121415[2])</f>
        <v>0</v>
      </c>
      <c r="E11" s="9">
        <f>SUBTOTAL(103,Décembre67891011121415[3])</f>
        <v>0</v>
      </c>
      <c r="F11" s="9">
        <f>SUBTOTAL(103,Décembre67891011121415[4])</f>
        <v>0</v>
      </c>
      <c r="G11" s="9">
        <f>SUBTOTAL(103,Décembre67891011121415[5])</f>
        <v>0</v>
      </c>
      <c r="H11" s="9">
        <f>SUBTOTAL(103,Décembre67891011121415[6])</f>
        <v>0</v>
      </c>
      <c r="I11" s="9">
        <f>SUBTOTAL(103,Décembre67891011121415[7])</f>
        <v>0</v>
      </c>
      <c r="J11" s="9">
        <f>SUBTOTAL(103,Décembre67891011121415[8])</f>
        <v>0</v>
      </c>
      <c r="K11" s="9">
        <f>SUBTOTAL(103,Décembre67891011121415[9])</f>
        <v>0</v>
      </c>
      <c r="L11" s="9">
        <f>SUBTOTAL(103,Décembre67891011121415[10])</f>
        <v>0</v>
      </c>
      <c r="M11" s="9">
        <f>SUBTOTAL(103,Décembre67891011121415[11])</f>
        <v>0</v>
      </c>
      <c r="N11" s="9">
        <f>SUBTOTAL(103,Décembre67891011121415[12])</f>
        <v>0</v>
      </c>
      <c r="O11" s="9">
        <f>SUBTOTAL(103,Décembre67891011121415[13])</f>
        <v>0</v>
      </c>
      <c r="P11" s="9">
        <f>SUBTOTAL(103,Décembre67891011121415[14])</f>
        <v>0</v>
      </c>
      <c r="Q11" s="9">
        <f>SUBTOTAL(103,Décembre67891011121415[15])</f>
        <v>0</v>
      </c>
      <c r="R11" s="9">
        <f>SUBTOTAL(103,Décembre67891011121415[16])</f>
        <v>0</v>
      </c>
      <c r="S11" s="9">
        <f>SUBTOTAL(103,Décembre67891011121415[17])</f>
        <v>0</v>
      </c>
      <c r="T11" s="9">
        <f>SUBTOTAL(103,Décembre67891011121415[18])</f>
        <v>0</v>
      </c>
      <c r="U11" s="9">
        <f>SUBTOTAL(103,Décembre67891011121415[19])</f>
        <v>0</v>
      </c>
      <c r="V11" s="9">
        <f>SUBTOTAL(103,Décembre67891011121415[20])</f>
        <v>0</v>
      </c>
      <c r="W11" s="9">
        <f>SUBTOTAL(103,Décembre67891011121415[21])</f>
        <v>0</v>
      </c>
      <c r="X11" s="9">
        <f>SUBTOTAL(103,Décembre67891011121415[22])</f>
        <v>0</v>
      </c>
      <c r="Y11" s="9">
        <f>SUBTOTAL(103,Décembre67891011121415[23])</f>
        <v>0</v>
      </c>
      <c r="Z11" s="9">
        <f>SUBTOTAL(103,Décembre67891011121415[24])</f>
        <v>0</v>
      </c>
      <c r="AA11" s="9">
        <f>SUBTOTAL(103,Décembre67891011121415[25])</f>
        <v>0</v>
      </c>
      <c r="AB11" s="9">
        <f>SUBTOTAL(103,Décembre67891011121415[26])</f>
        <v>0</v>
      </c>
      <c r="AC11" s="9">
        <f>SUBTOTAL(103,Décembre67891011121415[27])</f>
        <v>0</v>
      </c>
      <c r="AD11" s="9">
        <f>SUBTOTAL(103,Décembre67891011121415[28])</f>
        <v>0</v>
      </c>
      <c r="AE11" s="9">
        <f>SUBTOTAL(103,Décembre67891011121415[29])</f>
        <v>0</v>
      </c>
      <c r="AF11" s="9">
        <f>SUBTOTAL(103,Décembre67891011121415[30])</f>
        <v>0</v>
      </c>
      <c r="AG11" s="9">
        <f>SUBTOTAL(109,Décembre67891011121415[[Total ]])</f>
        <v>460</v>
      </c>
      <c r="AH11" s="22"/>
      <c r="AI11" s="22"/>
      <c r="AJ11" s="22"/>
      <c r="AK11" s="22"/>
    </row>
  </sheetData>
  <mergeCells count="6">
    <mergeCell ref="C4:AF4"/>
    <mergeCell ref="D2:E2"/>
    <mergeCell ref="G2:H2"/>
    <mergeCell ref="J2:M2"/>
    <mergeCell ref="N2:Q2"/>
    <mergeCell ref="S2:V2"/>
  </mergeCells>
  <conditionalFormatting sqref="C8:AF10 C7:J7 X7:AF7">
    <cfRule type="expression" priority="8" stopIfTrue="1">
      <formula>C7=""</formula>
    </cfRule>
  </conditionalFormatting>
  <conditionalFormatting sqref="C8:AF10 C7:J7 X7:AF7">
    <cfRule type="expression" dxfId="489" priority="9" stopIfTrue="1">
      <formula>C7=CléPersonnalisée2</formula>
    </cfRule>
    <cfRule type="expression" dxfId="488" priority="10" stopIfTrue="1">
      <formula>C7=CléPersonnalisée1</formula>
    </cfRule>
    <cfRule type="expression" dxfId="487" priority="11" stopIfTrue="1">
      <formula>C7=CléMaladie</formula>
    </cfRule>
    <cfRule type="expression" dxfId="486" priority="12" stopIfTrue="1">
      <formula>C7=CléPersonnel</formula>
    </cfRule>
    <cfRule type="expression" dxfId="485" priority="13" stopIfTrue="1">
      <formula>C7=CléCongé</formula>
    </cfRule>
  </conditionalFormatting>
  <conditionalFormatting sqref="AG8:AG10">
    <cfRule type="dataBar" priority="14">
      <dataBar>
        <cfvo type="min"/>
        <cfvo type="formula" val="DATEDIF(DATE(AnnéeCalendrier,2,1),DATE(AnnéeCalendrier,3,1),&quot;d&quot;)"/>
        <color theme="2" tint="-0.249977111117893"/>
      </dataBar>
      <extLst>
        <ext xmlns:x14="http://schemas.microsoft.com/office/spreadsheetml/2009/9/main" uri="{B025F937-C7B1-47D3-B67F-A62EFF666E3E}">
          <x14:id>{CA22CFED-DF61-7349-A65E-7A3A83870AB4}</x14:id>
        </ext>
      </extLst>
    </cfRule>
  </conditionalFormatting>
  <conditionalFormatting sqref="K7:W7">
    <cfRule type="expression" priority="2" stopIfTrue="1">
      <formula>K7=""</formula>
    </cfRule>
  </conditionalFormatting>
  <conditionalFormatting sqref="K7:W7">
    <cfRule type="expression" dxfId="484" priority="3" stopIfTrue="1">
      <formula>K7=CléPersonnalisée2</formula>
    </cfRule>
    <cfRule type="expression" dxfId="483" priority="4" stopIfTrue="1">
      <formula>K7=CléPersonnalisée1</formula>
    </cfRule>
    <cfRule type="expression" dxfId="482" priority="5" stopIfTrue="1">
      <formula>K7=CléMaladie</formula>
    </cfRule>
    <cfRule type="expression" dxfId="481" priority="6" stopIfTrue="1">
      <formula>K7=CléPersonnel</formula>
    </cfRule>
    <cfRule type="expression" dxfId="480" priority="7" stopIfTrue="1">
      <formula>K7=CléCongé</formula>
    </cfRule>
  </conditionalFormatting>
  <conditionalFormatting sqref="AG7">
    <cfRule type="dataBar" priority="1">
      <dataBar>
        <cfvo type="min"/>
        <cfvo type="formula" val="DATEDIF(DATE(AnnéeCalendrier,2,1),DATE(AnnéeCalendrier,3,1),&quot;d&quot;)"/>
        <color theme="2" tint="-0.249977111117893"/>
      </dataBar>
      <extLst>
        <ext xmlns:x14="http://schemas.microsoft.com/office/spreadsheetml/2009/9/main" uri="{B025F937-C7B1-47D3-B67F-A62EFF666E3E}">
          <x14:id>{3DFC074D-D0C3-C447-B5EA-3B4FD7B20738}</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365F6AEF-E3FB-0842-84BA-14224303F48E}"/>
    <dataValidation allowBlank="1" showInputMessage="1" showErrorMessage="1" prompt="Entrez une étiquette pour décrire la clé personnalisée à gauche" sqref="N2 S2" xr:uid="{3CE48D56-510A-9B4B-86B8-3A36C85FE35F}"/>
    <dataValidation allowBlank="1" showInputMessage="1" showErrorMessage="1" prompt="Entrez une lettre et personnalisez l’étiquette à droite pour ajouter un élément de clé" sqref="R2" xr:uid="{4BC6AD34-32B3-9C4B-9538-B0DC174E2D69}"/>
    <dataValidation allowBlank="1" showInputMessage="1" showErrorMessage="1" prompt="Suivez les absences du mois de décembre dans cette feuille de calcul" sqref="A1" xr:uid="{DEB2D225-8BE7-4E48-9B81-EEF3690FB25D}"/>
    <dataValidation allowBlank="1" showInputMessage="1" showErrorMessage="1" prompt="Année mise à jour automatiquement en fonction de l’année entrée dans la feuille de calcul Janvier" sqref="AG4" xr:uid="{F32046CD-BED4-0B42-A8A0-0A546686651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A22CFED-DF61-7349-A65E-7A3A83870AB4}">
            <x14:dataBar minLength="0" maxLength="100">
              <x14:cfvo type="autoMin"/>
              <x14:cfvo type="formula">
                <xm:f>DATEDIF(DATE(AnnéeCalendrier,2,1),DATE(AnnéeCalendrier,3,1),"d")</xm:f>
              </x14:cfvo>
              <x14:negativeFillColor rgb="FFFF0000"/>
              <x14:axisColor rgb="FF000000"/>
            </x14:dataBar>
          </x14:cfRule>
          <xm:sqref>AG8:AG10</xm:sqref>
        </x14:conditionalFormatting>
        <x14:conditionalFormatting xmlns:xm="http://schemas.microsoft.com/office/excel/2006/main">
          <x14:cfRule type="dataBar" id="{3DFC074D-D0C3-C447-B5EA-3B4FD7B20738}">
            <x14:dataBar minLength="0" maxLength="100">
              <x14:cfvo type="autoMin"/>
              <x14:cfvo type="formula">
                <xm:f>DATEDIF(DATE(AnnéeCalendrier,2,1),DATE(AnnéeCalendrier,3,1),"d")</xm:f>
              </x14:cfvo>
              <x14:negativeFillColor rgb="FFFF0000"/>
              <x14:axisColor rgb="FF000000"/>
            </x14:dataBar>
          </x14:cfRule>
          <xm:sqref>AG7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77A7-7A65-6E40-9214-F8B2EC708BC9}">
  <sheetPr>
    <tabColor theme="7" tint="0.79998168889431442"/>
  </sheetPr>
  <dimension ref="A1:AL11"/>
  <sheetViews>
    <sheetView showGridLines="0" zoomScaleNormal="100" workbookViewId="0">
      <selection activeCell="C2" sqref="C2"/>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40</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71</v>
      </c>
      <c r="D5" s="1" t="s">
        <v>52</v>
      </c>
      <c r="E5" s="1" t="s">
        <v>53</v>
      </c>
      <c r="F5" s="1" t="s">
        <v>54</v>
      </c>
      <c r="G5" s="1" t="s">
        <v>55</v>
      </c>
      <c r="H5" s="1" t="s">
        <v>56</v>
      </c>
      <c r="I5" s="1" t="s">
        <v>57</v>
      </c>
      <c r="J5" s="1" t="s">
        <v>51</v>
      </c>
      <c r="K5" s="1" t="s">
        <v>52</v>
      </c>
      <c r="L5" s="1" t="s">
        <v>53</v>
      </c>
      <c r="M5" s="1" t="s">
        <v>54</v>
      </c>
      <c r="N5" s="1" t="s">
        <v>55</v>
      </c>
      <c r="O5" s="1" t="s">
        <v>56</v>
      </c>
      <c r="P5" s="1" t="s">
        <v>57</v>
      </c>
      <c r="Q5" s="1" t="s">
        <v>51</v>
      </c>
      <c r="R5" s="1" t="s">
        <v>52</v>
      </c>
      <c r="S5" s="1" t="s">
        <v>53</v>
      </c>
      <c r="T5" s="1" t="s">
        <v>54</v>
      </c>
      <c r="U5" s="1" t="s">
        <v>55</v>
      </c>
      <c r="V5" s="1" t="s">
        <v>56</v>
      </c>
      <c r="W5" s="1" t="s">
        <v>57</v>
      </c>
      <c r="X5" s="1" t="s">
        <v>51</v>
      </c>
      <c r="Y5" s="1" t="s">
        <v>52</v>
      </c>
      <c r="Z5" s="1" t="s">
        <v>53</v>
      </c>
      <c r="AA5" s="1" t="s">
        <v>54</v>
      </c>
      <c r="AB5" s="1" t="s">
        <v>55</v>
      </c>
      <c r="AC5" s="1" t="s">
        <v>56</v>
      </c>
      <c r="AD5" s="1" t="s">
        <v>57</v>
      </c>
      <c r="AE5" s="1" t="s">
        <v>51</v>
      </c>
      <c r="AF5" s="1" t="s">
        <v>52</v>
      </c>
      <c r="AG5" s="1" t="s">
        <v>53</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49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6">
        <v>0</v>
      </c>
      <c r="AI7" s="20"/>
      <c r="AJ7" s="26">
        <f t="shared" ref="AJ7:AJ10" si="0">(AH7)-(AI7)</f>
        <v>0</v>
      </c>
      <c r="AK7" s="20"/>
      <c r="AL7" s="20"/>
    </row>
    <row r="8" spans="2:38"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COUNTA(Décembre6789101112141516[[#This Row],[1]:[31]])</f>
        <v>0</v>
      </c>
      <c r="AI10" s="21"/>
      <c r="AJ10" s="26">
        <f t="shared" si="0"/>
        <v>0</v>
      </c>
      <c r="AK10" s="21"/>
      <c r="AL10" s="20"/>
    </row>
    <row r="11" spans="2:38" ht="30" customHeight="1">
      <c r="B11" s="12"/>
      <c r="C11" s="9">
        <f>SUBTOTAL(103,Décembre6789101112141516[1])</f>
        <v>0</v>
      </c>
      <c r="D11" s="9">
        <f>SUBTOTAL(103,Décembre6789101112141516[2])</f>
        <v>0</v>
      </c>
      <c r="E11" s="9">
        <f>SUBTOTAL(103,Décembre6789101112141516[3])</f>
        <v>0</v>
      </c>
      <c r="F11" s="9">
        <f>SUBTOTAL(103,Décembre6789101112141516[4])</f>
        <v>0</v>
      </c>
      <c r="G11" s="9">
        <f>SUBTOTAL(103,Décembre6789101112141516[5])</f>
        <v>0</v>
      </c>
      <c r="H11" s="9">
        <f>SUBTOTAL(103,Décembre6789101112141516[6])</f>
        <v>0</v>
      </c>
      <c r="I11" s="9">
        <f>SUBTOTAL(103,Décembre6789101112141516[7])</f>
        <v>0</v>
      </c>
      <c r="J11" s="9">
        <f>SUBTOTAL(103,Décembre6789101112141516[8])</f>
        <v>0</v>
      </c>
      <c r="K11" s="9">
        <f>SUBTOTAL(103,Décembre6789101112141516[9])</f>
        <v>0</v>
      </c>
      <c r="L11" s="9">
        <f>SUBTOTAL(103,Décembre6789101112141516[10])</f>
        <v>0</v>
      </c>
      <c r="M11" s="9">
        <f>SUBTOTAL(103,Décembre6789101112141516[11])</f>
        <v>0</v>
      </c>
      <c r="N11" s="9">
        <f>SUBTOTAL(103,Décembre6789101112141516[12])</f>
        <v>0</v>
      </c>
      <c r="O11" s="9">
        <f>SUBTOTAL(103,Décembre6789101112141516[13])</f>
        <v>0</v>
      </c>
      <c r="P11" s="9">
        <f>SUBTOTAL(103,Décembre6789101112141516[14])</f>
        <v>0</v>
      </c>
      <c r="Q11" s="9">
        <f>SUBTOTAL(103,Décembre6789101112141516[15])</f>
        <v>0</v>
      </c>
      <c r="R11" s="9">
        <f>SUBTOTAL(103,Décembre6789101112141516[16])</f>
        <v>0</v>
      </c>
      <c r="S11" s="9">
        <f>SUBTOTAL(103,Décembre6789101112141516[17])</f>
        <v>0</v>
      </c>
      <c r="T11" s="9">
        <f>SUBTOTAL(103,Décembre6789101112141516[18])</f>
        <v>0</v>
      </c>
      <c r="U11" s="9">
        <f>SUBTOTAL(103,Décembre6789101112141516[19])</f>
        <v>0</v>
      </c>
      <c r="V11" s="9">
        <f>SUBTOTAL(103,Décembre6789101112141516[20])</f>
        <v>0</v>
      </c>
      <c r="W11" s="9">
        <f>SUBTOTAL(103,Décembre6789101112141516[21])</f>
        <v>0</v>
      </c>
      <c r="X11" s="9">
        <f>SUBTOTAL(103,Décembre6789101112141516[22])</f>
        <v>0</v>
      </c>
      <c r="Y11" s="9">
        <f>SUBTOTAL(103,Décembre6789101112141516[23])</f>
        <v>0</v>
      </c>
      <c r="Z11" s="9">
        <f>SUBTOTAL(103,Décembre6789101112141516[24])</f>
        <v>0</v>
      </c>
      <c r="AA11" s="9">
        <f>SUBTOTAL(103,Décembre6789101112141516[25])</f>
        <v>0</v>
      </c>
      <c r="AB11" s="9">
        <f>SUBTOTAL(103,Décembre6789101112141516[26])</f>
        <v>0</v>
      </c>
      <c r="AC11" s="9">
        <f>SUBTOTAL(103,Décembre6789101112141516[27])</f>
        <v>0</v>
      </c>
      <c r="AD11" s="9">
        <f>SUBTOTAL(103,Décembre6789101112141516[28])</f>
        <v>0</v>
      </c>
      <c r="AE11" s="9">
        <f>SUBTOTAL(103,Décembre6789101112141516[29])</f>
        <v>0</v>
      </c>
      <c r="AF11" s="9">
        <f>SUBTOTAL(103,Décembre6789101112141516[30])</f>
        <v>0</v>
      </c>
      <c r="AG11" s="9">
        <f>SUBTOTAL(103,Décembre6789101112141516[31])</f>
        <v>0</v>
      </c>
      <c r="AH11" s="9">
        <f>SUBTOTAL(109,Décembre6789101112141516[[Total ]])</f>
        <v>0</v>
      </c>
      <c r="AI11" s="22"/>
      <c r="AJ11" s="22"/>
      <c r="AK11" s="22"/>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404" priority="2" stopIfTrue="1">
      <formula>C7=CléPersonnalisée2</formula>
    </cfRule>
    <cfRule type="expression" dxfId="403" priority="3" stopIfTrue="1">
      <formula>C7=CléPersonnalisée1</formula>
    </cfRule>
    <cfRule type="expression" dxfId="402" priority="4" stopIfTrue="1">
      <formula>C7=CléMaladie</formula>
    </cfRule>
    <cfRule type="expression" dxfId="401" priority="5" stopIfTrue="1">
      <formula>C7=CléPersonnel</formula>
    </cfRule>
    <cfRule type="expression" dxfId="400"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{E4E9763E-8BFC-6A49-9D87-45A6128A0CA8}</x14:id>
        </ext>
      </extLst>
    </cfRule>
  </conditionalFormatting>
  <dataValidations count="5">
    <dataValidation allowBlank="1" showInputMessage="1" showErrorMessage="1" prompt="Année mise à jour automatiquement en fonction de l’année entrée dans la feuille de calcul Janvier" sqref="AH4" xr:uid="{D2E30403-84B3-CE44-9AA2-64D046E23464}"/>
    <dataValidation allowBlank="1" showInputMessage="1" showErrorMessage="1" prompt="Suivez les absences du mois de décembre dans cette feuille de calcul" sqref="A1" xr:uid="{2BC745D3-0E6F-1041-B8C0-4164E965B6F6}"/>
    <dataValidation allowBlank="1" showInputMessage="1" showErrorMessage="1" prompt="Entrez une lettre et personnalisez l’étiquette à droite pour ajouter un élément de clé" sqref="R2" xr:uid="{400ECBC2-3039-0D4E-A4B3-AAF987BC2B83}"/>
    <dataValidation allowBlank="1" showInputMessage="1" showErrorMessage="1" prompt="Entrez une étiquette pour décrire la clé personnalisée à gauche" sqref="N2 S2" xr:uid="{DFB5F473-5DE0-F144-938A-878B18594839}"/>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EAD228D7-B870-2947-90BE-827E52144815}"/>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E9763E-8BFC-6A49-9D87-45A6128A0CA8}">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7C16-D981-5442-9C35-1C73B639874D}">
  <sheetPr>
    <tabColor theme="7" tint="0.79998168889431442"/>
  </sheetPr>
  <dimension ref="A1:AK11"/>
  <sheetViews>
    <sheetView showGridLines="0" topLeftCell="C1" zoomScaleNormal="100" workbookViewId="0">
      <selection activeCell="F2" sqref="F2"/>
    </sheetView>
  </sheetViews>
  <sheetFormatPr baseColWidth="10" defaultColWidth="9.1640625" defaultRowHeight="30" customHeight="1"/>
  <cols>
    <col min="1" max="1" width="2.6640625" style="7" customWidth="1"/>
    <col min="2" max="2" width="25.6640625" style="7" customWidth="1"/>
    <col min="3" max="32" width="4.6640625" style="7" customWidth="1"/>
    <col min="33" max="33" width="13.5" style="7" customWidth="1"/>
    <col min="34" max="35" width="9.1640625" customWidth="1"/>
    <col min="36" max="36" width="9" customWidth="1"/>
    <col min="37" max="37" width="21" customWidth="1"/>
  </cols>
  <sheetData>
    <row r="1" spans="2:37" ht="50" customHeight="1">
      <c r="B1" s="10" t="s">
        <v>65</v>
      </c>
    </row>
    <row r="2" spans="2:37" ht="15" customHeight="1">
      <c r="B2" s="14"/>
      <c r="C2" s="3"/>
      <c r="D2" s="66" t="s">
        <v>44</v>
      </c>
      <c r="E2" s="67"/>
      <c r="F2" s="4"/>
      <c r="G2" s="69" t="s">
        <v>59</v>
      </c>
      <c r="H2" s="69"/>
      <c r="I2" s="5"/>
      <c r="J2" s="69" t="s">
        <v>60</v>
      </c>
      <c r="K2" s="69"/>
      <c r="L2" s="69"/>
      <c r="M2" s="69"/>
      <c r="N2" s="68"/>
      <c r="O2" s="68"/>
      <c r="P2" s="68"/>
      <c r="Q2" s="68"/>
      <c r="R2" s="15"/>
      <c r="S2" s="68"/>
      <c r="T2" s="68"/>
      <c r="U2" s="68"/>
      <c r="V2" s="68"/>
    </row>
    <row r="3" spans="2:37" ht="15" customHeight="1">
      <c r="B3" s="10"/>
    </row>
    <row r="4" spans="2:37" ht="30" customHeight="1">
      <c r="B4" s="13" t="s">
        <v>41</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13">
        <v>2020</v>
      </c>
    </row>
    <row r="5" spans="2:37" ht="15" customHeight="1">
      <c r="B5" s="13"/>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3"/>
    </row>
    <row r="6" spans="2:37"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c r="B7" s="17" t="s">
        <v>49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6">
        <v>0</v>
      </c>
      <c r="AH7" s="20"/>
      <c r="AI7" s="26">
        <f t="shared" ref="AI7:AI10" si="0">(AG7)-(AH7)</f>
        <v>0</v>
      </c>
      <c r="AJ7" s="20"/>
      <c r="AK7" s="20"/>
    </row>
    <row r="8" spans="2:37"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6">
        <v>0</v>
      </c>
      <c r="AH8" s="21"/>
      <c r="AI8" s="26">
        <f t="shared" si="0"/>
        <v>0</v>
      </c>
      <c r="AJ8" s="21"/>
      <c r="AK8" s="20"/>
    </row>
    <row r="9" spans="2:37"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0"/>
        <v>0</v>
      </c>
      <c r="AJ9" s="21"/>
      <c r="AK9" s="20"/>
    </row>
    <row r="10" spans="2:37"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0"/>
        <v>0</v>
      </c>
      <c r="AJ10" s="21"/>
      <c r="AK10" s="20"/>
    </row>
    <row r="11" spans="2:37" ht="30" customHeight="1">
      <c r="B11" s="12"/>
      <c r="C11" s="9">
        <f>SUBTOTAL(103,Décembre678910111214151617[1])</f>
        <v>0</v>
      </c>
      <c r="D11" s="9">
        <f>SUBTOTAL(103,Décembre678910111214151617[2])</f>
        <v>0</v>
      </c>
      <c r="E11" s="9">
        <f>SUBTOTAL(103,Décembre678910111214151617[3])</f>
        <v>0</v>
      </c>
      <c r="F11" s="9">
        <f>SUBTOTAL(103,Décembre678910111214151617[4])</f>
        <v>0</v>
      </c>
      <c r="G11" s="9">
        <f>SUBTOTAL(103,Décembre678910111214151617[5])</f>
        <v>0</v>
      </c>
      <c r="H11" s="9">
        <f>SUBTOTAL(103,Décembre678910111214151617[6])</f>
        <v>0</v>
      </c>
      <c r="I11" s="9">
        <f>SUBTOTAL(103,Décembre678910111214151617[7])</f>
        <v>0</v>
      </c>
      <c r="J11" s="9">
        <f>SUBTOTAL(103,Décembre678910111214151617[8])</f>
        <v>0</v>
      </c>
      <c r="K11" s="9">
        <f>SUBTOTAL(103,Décembre678910111214151617[9])</f>
        <v>0</v>
      </c>
      <c r="L11" s="9">
        <f>SUBTOTAL(103,Décembre678910111214151617[10])</f>
        <v>0</v>
      </c>
      <c r="M11" s="9">
        <f>SUBTOTAL(103,Décembre678910111214151617[11])</f>
        <v>0</v>
      </c>
      <c r="N11" s="9">
        <f>SUBTOTAL(103,Décembre678910111214151617[12])</f>
        <v>0</v>
      </c>
      <c r="O11" s="9">
        <f>SUBTOTAL(103,Décembre678910111214151617[13])</f>
        <v>0</v>
      </c>
      <c r="P11" s="9">
        <f>SUBTOTAL(103,Décembre678910111214151617[14])</f>
        <v>0</v>
      </c>
      <c r="Q11" s="9">
        <f>SUBTOTAL(103,Décembre678910111214151617[15])</f>
        <v>0</v>
      </c>
      <c r="R11" s="9">
        <f>SUBTOTAL(103,Décembre678910111214151617[16])</f>
        <v>0</v>
      </c>
      <c r="S11" s="9">
        <f>SUBTOTAL(103,Décembre678910111214151617[17])</f>
        <v>0</v>
      </c>
      <c r="T11" s="9">
        <f>SUBTOTAL(103,Décembre678910111214151617[18])</f>
        <v>0</v>
      </c>
      <c r="U11" s="9">
        <f>SUBTOTAL(103,Décembre678910111214151617[19])</f>
        <v>0</v>
      </c>
      <c r="V11" s="9">
        <f>SUBTOTAL(103,Décembre678910111214151617[20])</f>
        <v>0</v>
      </c>
      <c r="W11" s="9">
        <f>SUBTOTAL(103,Décembre678910111214151617[21])</f>
        <v>0</v>
      </c>
      <c r="X11" s="9">
        <f>SUBTOTAL(103,Décembre678910111214151617[22])</f>
        <v>0</v>
      </c>
      <c r="Y11" s="9">
        <f>SUBTOTAL(103,Décembre678910111214151617[23])</f>
        <v>0</v>
      </c>
      <c r="Z11" s="9">
        <f>SUBTOTAL(103,Décembre678910111214151617[24])</f>
        <v>0</v>
      </c>
      <c r="AA11" s="9">
        <f>SUBTOTAL(103,Décembre678910111214151617[25])</f>
        <v>0</v>
      </c>
      <c r="AB11" s="9">
        <f>SUBTOTAL(103,Décembre678910111214151617[26])</f>
        <v>0</v>
      </c>
      <c r="AC11" s="9">
        <f>SUBTOTAL(103,Décembre678910111214151617[27])</f>
        <v>0</v>
      </c>
      <c r="AD11" s="9">
        <f>SUBTOTAL(103,Décembre678910111214151617[28])</f>
        <v>0</v>
      </c>
      <c r="AE11" s="9">
        <f>SUBTOTAL(103,Décembre678910111214151617[29])</f>
        <v>0</v>
      </c>
      <c r="AF11" s="9">
        <f>SUBTOTAL(103,Décembre678910111214151617[30])</f>
        <v>0</v>
      </c>
      <c r="AG11" s="9">
        <f>SUBTOTAL(109,Décembre678910111214151617[[Total ]])</f>
        <v>0</v>
      </c>
      <c r="AH11" s="22"/>
      <c r="AI11" s="22"/>
      <c r="AJ11" s="22"/>
      <c r="AK11" s="22"/>
    </row>
  </sheetData>
  <mergeCells count="6">
    <mergeCell ref="C4:AF4"/>
    <mergeCell ref="D2:E2"/>
    <mergeCell ref="G2:H2"/>
    <mergeCell ref="J2:M2"/>
    <mergeCell ref="N2:Q2"/>
    <mergeCell ref="S2:V2"/>
  </mergeCells>
  <conditionalFormatting sqref="C7:AF10">
    <cfRule type="expression" priority="1" stopIfTrue="1">
      <formula>C7=""</formula>
    </cfRule>
  </conditionalFormatting>
  <conditionalFormatting sqref="C7:AF10">
    <cfRule type="expression" dxfId="322" priority="2" stopIfTrue="1">
      <formula>C7=CléPersonnalisée2</formula>
    </cfRule>
    <cfRule type="expression" dxfId="321" priority="3" stopIfTrue="1">
      <formula>C7=CléPersonnalisée1</formula>
    </cfRule>
    <cfRule type="expression" dxfId="320" priority="4" stopIfTrue="1">
      <formula>C7=CléMaladie</formula>
    </cfRule>
    <cfRule type="expression" dxfId="319" priority="5" stopIfTrue="1">
      <formula>C7=CléPersonnel</formula>
    </cfRule>
    <cfRule type="expression" dxfId="318" priority="6" stopIfTrue="1">
      <formula>C7=CléCongé</formula>
    </cfRule>
  </conditionalFormatting>
  <conditionalFormatting sqref="AG7:AG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{FC40B65C-F2DD-4847-AECA-1F10D889D8F4}</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659292DB-36F6-5040-AC8D-8D84434C123C}"/>
    <dataValidation allowBlank="1" showInputMessage="1" showErrorMessage="1" prompt="Entrez une étiquette pour décrire la clé personnalisée à gauche" sqref="N2 S2" xr:uid="{6CA7E3AD-E2FE-5C45-BBFD-BDE83FE93927}"/>
    <dataValidation allowBlank="1" showInputMessage="1" showErrorMessage="1" prompt="Entrez une lettre et personnalisez l’étiquette à droite pour ajouter un élément de clé" sqref="R2" xr:uid="{80FB46D0-680A-844E-8B5B-2B18489724C6}"/>
    <dataValidation allowBlank="1" showInputMessage="1" showErrorMessage="1" prompt="Suivez les absences du mois de décembre dans cette feuille de calcul" sqref="A1" xr:uid="{63F782A1-F51A-9141-8127-E669931F22DD}"/>
    <dataValidation allowBlank="1" showInputMessage="1" showErrorMessage="1" prompt="Année mise à jour automatiquement en fonction de l’année entrée dans la feuille de calcul Janvier" sqref="AG4" xr:uid="{DA9F74AC-A690-5547-9BC9-FA0C0D9E969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40B65C-F2DD-4847-AECA-1F10D889D8F4}">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10EB-DEB6-6D4E-901B-D1F4976379CE}">
  <sheetPr>
    <tabColor theme="7" tint="0.79998168889431442"/>
  </sheetPr>
  <dimension ref="A1:AL11"/>
  <sheetViews>
    <sheetView showGridLines="0" topLeftCell="M1" zoomScaleNormal="100" workbookViewId="0">
      <selection activeCell="AL9" sqref="AL9"/>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42</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70</v>
      </c>
      <c r="D5" s="1" t="s">
        <v>57</v>
      </c>
      <c r="E5" s="1" t="s">
        <v>51</v>
      </c>
      <c r="F5" s="1" t="s">
        <v>52</v>
      </c>
      <c r="G5" s="1" t="s">
        <v>53</v>
      </c>
      <c r="H5" s="1" t="s">
        <v>54</v>
      </c>
      <c r="I5" s="1" t="s">
        <v>55</v>
      </c>
      <c r="J5" s="1" t="s">
        <v>56</v>
      </c>
      <c r="K5" s="1" t="s">
        <v>57</v>
      </c>
      <c r="L5" s="1" t="s">
        <v>51</v>
      </c>
      <c r="M5" s="1" t="s">
        <v>52</v>
      </c>
      <c r="N5" s="1" t="s">
        <v>53</v>
      </c>
      <c r="O5" s="1" t="s">
        <v>54</v>
      </c>
      <c r="P5" s="1" t="s">
        <v>55</v>
      </c>
      <c r="Q5" s="1" t="s">
        <v>56</v>
      </c>
      <c r="R5" s="1" t="s">
        <v>57</v>
      </c>
      <c r="S5" s="1" t="s">
        <v>51</v>
      </c>
      <c r="T5" s="1" t="s">
        <v>52</v>
      </c>
      <c r="U5" s="1" t="s">
        <v>53</v>
      </c>
      <c r="V5" s="1" t="s">
        <v>54</v>
      </c>
      <c r="W5" s="1" t="s">
        <v>55</v>
      </c>
      <c r="X5" s="1" t="s">
        <v>56</v>
      </c>
      <c r="Y5" s="1" t="s">
        <v>57</v>
      </c>
      <c r="Z5" s="1" t="s">
        <v>51</v>
      </c>
      <c r="AA5" s="1" t="s">
        <v>52</v>
      </c>
      <c r="AB5" s="1" t="s">
        <v>53</v>
      </c>
      <c r="AC5" s="1" t="s">
        <v>54</v>
      </c>
      <c r="AD5" s="1" t="s">
        <v>55</v>
      </c>
      <c r="AE5" s="1" t="s">
        <v>56</v>
      </c>
      <c r="AF5" s="1" t="s">
        <v>57</v>
      </c>
      <c r="AG5" s="1" t="s">
        <v>51</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115</v>
      </c>
      <c r="C7" s="2"/>
      <c r="D7" s="2"/>
      <c r="E7" s="2"/>
      <c r="F7" s="2"/>
      <c r="G7" s="2"/>
      <c r="H7" s="2"/>
      <c r="I7" s="2"/>
      <c r="J7" s="2"/>
      <c r="K7" s="2"/>
      <c r="L7" s="2"/>
      <c r="M7" s="2"/>
      <c r="N7" s="2"/>
      <c r="O7" s="2"/>
      <c r="P7" s="2"/>
      <c r="Q7" s="2"/>
      <c r="R7" s="2"/>
      <c r="S7" s="2"/>
      <c r="T7" s="2"/>
      <c r="U7" s="2"/>
      <c r="V7" s="2"/>
      <c r="W7" s="2"/>
      <c r="X7" s="2"/>
      <c r="Y7" s="2"/>
      <c r="Z7" s="2"/>
      <c r="AA7" s="2"/>
      <c r="AB7" s="3"/>
      <c r="AC7" s="3"/>
      <c r="AD7" s="3"/>
      <c r="AE7" s="3"/>
      <c r="AF7" s="3"/>
      <c r="AG7" s="3"/>
      <c r="AH7" s="6">
        <v>480</v>
      </c>
      <c r="AI7" s="20">
        <v>144</v>
      </c>
      <c r="AJ7" s="26">
        <f t="shared" ref="AJ7:AJ10" si="0">(AH7)-(AI7)</f>
        <v>336</v>
      </c>
      <c r="AK7" s="20"/>
      <c r="AL7" s="20" t="s">
        <v>116</v>
      </c>
    </row>
    <row r="8" spans="2:38"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COUNTA(Décembre67891011121415161718[[#This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COUNTA(Décembre67891011121415161718[[#This Row],[1]:[31]])</f>
        <v>0</v>
      </c>
      <c r="AI10" s="21"/>
      <c r="AJ10" s="26">
        <f t="shared" si="0"/>
        <v>0</v>
      </c>
      <c r="AK10" s="21"/>
      <c r="AL10" s="20"/>
    </row>
    <row r="11" spans="2:38" ht="30" customHeight="1">
      <c r="B11" s="12"/>
      <c r="C11" s="9">
        <f>SUBTOTAL(103,Décembre67891011121415161718[1])</f>
        <v>0</v>
      </c>
      <c r="D11" s="9">
        <f>SUBTOTAL(103,Décembre67891011121415161718[2])</f>
        <v>0</v>
      </c>
      <c r="E11" s="9">
        <f>SUBTOTAL(103,Décembre67891011121415161718[3])</f>
        <v>0</v>
      </c>
      <c r="F11" s="9">
        <f>SUBTOTAL(103,Décembre67891011121415161718[4])</f>
        <v>0</v>
      </c>
      <c r="G11" s="9">
        <f>SUBTOTAL(103,Décembre67891011121415161718[5])</f>
        <v>0</v>
      </c>
      <c r="H11" s="9">
        <f>SUBTOTAL(103,Décembre67891011121415161718[6])</f>
        <v>0</v>
      </c>
      <c r="I11" s="9">
        <f>SUBTOTAL(103,Décembre67891011121415161718[7])</f>
        <v>0</v>
      </c>
      <c r="J11" s="9">
        <f>SUBTOTAL(103,Décembre67891011121415161718[8])</f>
        <v>0</v>
      </c>
      <c r="K11" s="9">
        <f>SUBTOTAL(103,Décembre67891011121415161718[9])</f>
        <v>0</v>
      </c>
      <c r="L11" s="9">
        <f>SUBTOTAL(103,Décembre67891011121415161718[10])</f>
        <v>0</v>
      </c>
      <c r="M11" s="9">
        <f>SUBTOTAL(103,Décembre67891011121415161718[11])</f>
        <v>0</v>
      </c>
      <c r="N11" s="9">
        <f>SUBTOTAL(103,Décembre67891011121415161718[12])</f>
        <v>0</v>
      </c>
      <c r="O11" s="9">
        <f>SUBTOTAL(103,Décembre67891011121415161718[13])</f>
        <v>0</v>
      </c>
      <c r="P11" s="9">
        <f>SUBTOTAL(103,Décembre67891011121415161718[14])</f>
        <v>0</v>
      </c>
      <c r="Q11" s="9">
        <f>SUBTOTAL(103,Décembre67891011121415161718[15])</f>
        <v>0</v>
      </c>
      <c r="R11" s="9">
        <f>SUBTOTAL(103,Décembre67891011121415161718[16])</f>
        <v>0</v>
      </c>
      <c r="S11" s="9">
        <f>SUBTOTAL(103,Décembre67891011121415161718[17])</f>
        <v>0</v>
      </c>
      <c r="T11" s="9">
        <f>SUBTOTAL(103,Décembre67891011121415161718[18])</f>
        <v>0</v>
      </c>
      <c r="U11" s="9">
        <f>SUBTOTAL(103,Décembre67891011121415161718[19])</f>
        <v>0</v>
      </c>
      <c r="V11" s="9">
        <f>SUBTOTAL(103,Décembre67891011121415161718[20])</f>
        <v>0</v>
      </c>
      <c r="W11" s="9">
        <f>SUBTOTAL(103,Décembre67891011121415161718[21])</f>
        <v>0</v>
      </c>
      <c r="X11" s="9">
        <f>SUBTOTAL(103,Décembre67891011121415161718[22])</f>
        <v>0</v>
      </c>
      <c r="Y11" s="9">
        <f>SUBTOTAL(103,Décembre67891011121415161718[23])</f>
        <v>0</v>
      </c>
      <c r="Z11" s="9">
        <f>SUBTOTAL(103,Décembre67891011121415161718[24])</f>
        <v>0</v>
      </c>
      <c r="AA11" s="9">
        <f>SUBTOTAL(103,Décembre67891011121415161718[25])</f>
        <v>0</v>
      </c>
      <c r="AB11" s="9">
        <f>SUBTOTAL(103,Décembre67891011121415161718[26])</f>
        <v>0</v>
      </c>
      <c r="AC11" s="9">
        <f>SUBTOTAL(103,Décembre67891011121415161718[27])</f>
        <v>0</v>
      </c>
      <c r="AD11" s="9">
        <f>SUBTOTAL(103,Décembre67891011121415161718[28])</f>
        <v>0</v>
      </c>
      <c r="AE11" s="9">
        <f>SUBTOTAL(103,Décembre67891011121415161718[29])</f>
        <v>0</v>
      </c>
      <c r="AF11" s="9">
        <f>SUBTOTAL(103,Décembre67891011121415161718[30])</f>
        <v>0</v>
      </c>
      <c r="AG11" s="9">
        <f>SUBTOTAL(103,Décembre67891011121415161718[31])</f>
        <v>0</v>
      </c>
      <c r="AH11" s="9">
        <f>SUBTOTAL(109,Décembre67891011121415161718[[Total ]])</f>
        <v>480</v>
      </c>
      <c r="AI11" s="22"/>
      <c r="AJ11" s="22"/>
      <c r="AK11" s="22"/>
      <c r="AL11" s="22"/>
    </row>
  </sheetData>
  <mergeCells count="6">
    <mergeCell ref="C4:AG4"/>
    <mergeCell ref="D2:E2"/>
    <mergeCell ref="G2:H2"/>
    <mergeCell ref="J2:M2"/>
    <mergeCell ref="N2:Q2"/>
    <mergeCell ref="S2:V2"/>
  </mergeCells>
  <conditionalFormatting sqref="C8:AG10 C7:AA7">
    <cfRule type="expression" priority="1" stopIfTrue="1">
      <formula>C7=""</formula>
    </cfRule>
  </conditionalFormatting>
  <conditionalFormatting sqref="C8:AG10 C7:AA7">
    <cfRule type="expression" dxfId="242" priority="2" stopIfTrue="1">
      <formula>C7=CléPersonnalisée2</formula>
    </cfRule>
    <cfRule type="expression" dxfId="241" priority="3" stopIfTrue="1">
      <formula>C7=CléPersonnalisée1</formula>
    </cfRule>
    <cfRule type="expression" dxfId="240" priority="4" stopIfTrue="1">
      <formula>C7=CléMaladie</formula>
    </cfRule>
    <cfRule type="expression" dxfId="239" priority="5" stopIfTrue="1">
      <formula>C7=CléPersonnel</formula>
    </cfRule>
    <cfRule type="expression" dxfId="238"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{E0792D4F-10F8-3943-8B84-5D90151A21A5}</x14:id>
        </ext>
      </extLst>
    </cfRule>
  </conditionalFormatting>
  <dataValidations count="5">
    <dataValidation allowBlank="1" showInputMessage="1" showErrorMessage="1" prompt="Année mise à jour automatiquement en fonction de l’année entrée dans la feuille de calcul Janvier" sqref="AH4" xr:uid="{52852A4F-0F71-9842-AF1A-76B5577D7A1D}"/>
    <dataValidation allowBlank="1" showInputMessage="1" showErrorMessage="1" prompt="Suivez les absences du mois de décembre dans cette feuille de calcul" sqref="A1" xr:uid="{F1B13714-000F-824C-A626-8D9E8C79B50C}"/>
    <dataValidation allowBlank="1" showInputMessage="1" showErrorMessage="1" prompt="Entrez une lettre et personnalisez l’étiquette à droite pour ajouter un élément de clé" sqref="R2" xr:uid="{12D6D3F2-3B3A-A045-8A98-C35962195164}"/>
    <dataValidation allowBlank="1" showInputMessage="1" showErrorMessage="1" prompt="Entrez une étiquette pour décrire la clé personnalisée à gauche" sqref="N2 S2" xr:uid="{BB0E0BA0-938C-CF4C-8F54-B54030B13ED9}"/>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F4DFCE52-2515-0143-92BE-D8B7C968DECD}"/>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792D4F-10F8-3943-8B84-5D90151A21A5}">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F791-ABC4-6D4F-A0DE-9966F99C7DA7}">
  <sheetPr>
    <tabColor theme="7" tint="0.79998168889431442"/>
  </sheetPr>
  <dimension ref="A1:AL11"/>
  <sheetViews>
    <sheetView showGridLines="0" topLeftCell="R1" zoomScaleNormal="100" workbookViewId="0">
      <selection activeCell="AI14" sqref="AI14"/>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63" t="s">
        <v>42</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3">
        <v>2021</v>
      </c>
    </row>
    <row r="5" spans="2:38" ht="15" customHeight="1">
      <c r="B5" s="63"/>
      <c r="C5" s="1" t="s">
        <v>68</v>
      </c>
      <c r="D5" s="1" t="s">
        <v>53</v>
      </c>
      <c r="E5" s="1" t="s">
        <v>54</v>
      </c>
      <c r="F5" s="1" t="s">
        <v>55</v>
      </c>
      <c r="G5" s="1" t="s">
        <v>56</v>
      </c>
      <c r="H5" s="1" t="s">
        <v>57</v>
      </c>
      <c r="I5" s="1" t="s">
        <v>51</v>
      </c>
      <c r="J5" s="1" t="s">
        <v>52</v>
      </c>
      <c r="K5" s="1" t="s">
        <v>53</v>
      </c>
      <c r="L5" s="1" t="s">
        <v>54</v>
      </c>
      <c r="M5" s="1" t="s">
        <v>55</v>
      </c>
      <c r="N5" s="1" t="s">
        <v>56</v>
      </c>
      <c r="O5" s="1" t="s">
        <v>57</v>
      </c>
      <c r="P5" s="1" t="s">
        <v>51</v>
      </c>
      <c r="Q5" s="1" t="s">
        <v>52</v>
      </c>
      <c r="R5" s="1" t="s">
        <v>53</v>
      </c>
      <c r="S5" s="1" t="s">
        <v>54</v>
      </c>
      <c r="T5" s="1" t="s">
        <v>55</v>
      </c>
      <c r="U5" s="1" t="s">
        <v>56</v>
      </c>
      <c r="V5" s="1" t="s">
        <v>57</v>
      </c>
      <c r="W5" s="1" t="s">
        <v>51</v>
      </c>
      <c r="X5" s="1" t="s">
        <v>52</v>
      </c>
      <c r="Y5" s="1" t="s">
        <v>53</v>
      </c>
      <c r="Z5" s="1" t="s">
        <v>54</v>
      </c>
      <c r="AA5" s="1" t="s">
        <v>55</v>
      </c>
      <c r="AB5" s="1" t="s">
        <v>56</v>
      </c>
      <c r="AC5" s="1" t="s">
        <v>57</v>
      </c>
      <c r="AD5" s="1" t="s">
        <v>51</v>
      </c>
      <c r="AE5" s="1" t="s">
        <v>52</v>
      </c>
      <c r="AF5" s="1" t="s">
        <v>53</v>
      </c>
      <c r="AG5" s="1" t="s">
        <v>54</v>
      </c>
      <c r="AH5" s="6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115</v>
      </c>
      <c r="C7" s="3"/>
      <c r="D7" s="3"/>
      <c r="E7" s="3"/>
      <c r="F7" s="3"/>
      <c r="G7" s="3"/>
      <c r="H7" s="3"/>
      <c r="I7" s="3"/>
      <c r="J7" s="2"/>
      <c r="K7" s="2"/>
      <c r="L7" s="2"/>
      <c r="M7" s="2"/>
      <c r="N7" s="2"/>
      <c r="O7" s="2"/>
      <c r="P7" s="2"/>
      <c r="Q7" s="2"/>
      <c r="R7" s="2"/>
      <c r="S7" s="2"/>
      <c r="T7" s="2"/>
      <c r="U7" s="2"/>
      <c r="V7" s="2"/>
      <c r="W7" s="2"/>
      <c r="X7" s="2"/>
      <c r="Y7" s="2"/>
      <c r="Z7" s="2"/>
      <c r="AA7" s="2"/>
      <c r="AB7" s="2"/>
      <c r="AC7" s="2"/>
      <c r="AD7" s="2"/>
      <c r="AE7" s="2"/>
      <c r="AF7" s="2"/>
      <c r="AG7" s="2"/>
      <c r="AH7" s="6">
        <v>480</v>
      </c>
      <c r="AI7" s="20"/>
      <c r="AJ7" s="26">
        <f t="shared" ref="AJ7:AJ10" si="0">(AH7)-(AI7)</f>
        <v>480</v>
      </c>
      <c r="AK7" s="20"/>
      <c r="AL7" s="20"/>
    </row>
    <row r="8" spans="2:38"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COUNTA(Décembre678910111214151617182[[#This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COUNTA(Décembre678910111214151617182[[#This Row],[1]:[31]])</f>
        <v>0</v>
      </c>
      <c r="AI10" s="21"/>
      <c r="AJ10" s="26">
        <f t="shared" si="0"/>
        <v>0</v>
      </c>
      <c r="AK10" s="21"/>
      <c r="AL10" s="20"/>
    </row>
    <row r="11" spans="2:38" ht="30" customHeight="1">
      <c r="B11" s="12"/>
      <c r="C11" s="9">
        <f>SUBTOTAL(103,Décembre678910111214151617182[1])</f>
        <v>0</v>
      </c>
      <c r="D11" s="9">
        <f>SUBTOTAL(103,Décembre678910111214151617182[2])</f>
        <v>0</v>
      </c>
      <c r="E11" s="9">
        <f>SUBTOTAL(103,Décembre678910111214151617182[3])</f>
        <v>0</v>
      </c>
      <c r="F11" s="9">
        <f>SUBTOTAL(103,Décembre678910111214151617182[4])</f>
        <v>0</v>
      </c>
      <c r="G11" s="9">
        <f>SUBTOTAL(103,Décembre678910111214151617182[5])</f>
        <v>0</v>
      </c>
      <c r="H11" s="9">
        <f>SUBTOTAL(103,Décembre678910111214151617182[6])</f>
        <v>0</v>
      </c>
      <c r="I11" s="9">
        <f>SUBTOTAL(103,Décembre678910111214151617182[7])</f>
        <v>0</v>
      </c>
      <c r="J11" s="9">
        <f>SUBTOTAL(103,Décembre678910111214151617182[8])</f>
        <v>0</v>
      </c>
      <c r="K11" s="9">
        <f>SUBTOTAL(103,Décembre678910111214151617182[9])</f>
        <v>0</v>
      </c>
      <c r="L11" s="9">
        <f>SUBTOTAL(103,Décembre678910111214151617182[10])</f>
        <v>0</v>
      </c>
      <c r="M11" s="9">
        <f>SUBTOTAL(103,Décembre678910111214151617182[11])</f>
        <v>0</v>
      </c>
      <c r="N11" s="9">
        <f>SUBTOTAL(103,Décembre678910111214151617182[12])</f>
        <v>0</v>
      </c>
      <c r="O11" s="9">
        <f>SUBTOTAL(103,Décembre678910111214151617182[13])</f>
        <v>0</v>
      </c>
      <c r="P11" s="9">
        <f>SUBTOTAL(103,Décembre678910111214151617182[14])</f>
        <v>0</v>
      </c>
      <c r="Q11" s="9">
        <f>SUBTOTAL(103,Décembre678910111214151617182[15])</f>
        <v>0</v>
      </c>
      <c r="R11" s="9">
        <f>SUBTOTAL(103,Décembre678910111214151617182[16])</f>
        <v>0</v>
      </c>
      <c r="S11" s="9">
        <f>SUBTOTAL(103,Décembre678910111214151617182[17])</f>
        <v>0</v>
      </c>
      <c r="T11" s="9">
        <f>SUBTOTAL(103,Décembre678910111214151617182[18])</f>
        <v>0</v>
      </c>
      <c r="U11" s="9">
        <f>SUBTOTAL(103,Décembre678910111214151617182[19])</f>
        <v>0</v>
      </c>
      <c r="V11" s="9">
        <f>SUBTOTAL(103,Décembre678910111214151617182[20])</f>
        <v>0</v>
      </c>
      <c r="W11" s="9">
        <f>SUBTOTAL(103,Décembre678910111214151617182[21])</f>
        <v>0</v>
      </c>
      <c r="X11" s="9">
        <f>SUBTOTAL(103,Décembre678910111214151617182[22])</f>
        <v>0</v>
      </c>
      <c r="Y11" s="9">
        <f>SUBTOTAL(103,Décembre678910111214151617182[23])</f>
        <v>0</v>
      </c>
      <c r="Z11" s="9">
        <f>SUBTOTAL(103,Décembre678910111214151617182[24])</f>
        <v>0</v>
      </c>
      <c r="AA11" s="9">
        <f>SUBTOTAL(103,Décembre678910111214151617182[25])</f>
        <v>0</v>
      </c>
      <c r="AB11" s="9">
        <f>SUBTOTAL(103,Décembre678910111214151617182[26])</f>
        <v>0</v>
      </c>
      <c r="AC11" s="9">
        <f>SUBTOTAL(103,Décembre678910111214151617182[27])</f>
        <v>0</v>
      </c>
      <c r="AD11" s="9">
        <f>SUBTOTAL(103,Décembre678910111214151617182[28])</f>
        <v>0</v>
      </c>
      <c r="AE11" s="9">
        <f>SUBTOTAL(103,Décembre678910111214151617182[29])</f>
        <v>0</v>
      </c>
      <c r="AF11" s="9">
        <f>SUBTOTAL(103,Décembre678910111214151617182[30])</f>
        <v>0</v>
      </c>
      <c r="AG11" s="9">
        <f>SUBTOTAL(103,Décembre678910111214151617182[31])</f>
        <v>0</v>
      </c>
      <c r="AH11" s="9">
        <f>SUBTOTAL(109,Décembre678910111214151617182[[Total ]])</f>
        <v>480</v>
      </c>
      <c r="AI11" s="22"/>
      <c r="AJ11" s="22"/>
      <c r="AK11" s="22"/>
      <c r="AL11" s="22"/>
    </row>
  </sheetData>
  <mergeCells count="6">
    <mergeCell ref="C4:AG4"/>
    <mergeCell ref="D2:E2"/>
    <mergeCell ref="G2:H2"/>
    <mergeCell ref="J2:M2"/>
    <mergeCell ref="N2:Q2"/>
    <mergeCell ref="S2:V2"/>
  </mergeCells>
  <conditionalFormatting sqref="C8:AG10 J7:AA7">
    <cfRule type="expression" priority="7" stopIfTrue="1">
      <formula>C7=""</formula>
    </cfRule>
  </conditionalFormatting>
  <conditionalFormatting sqref="C8:AG10 J7:AA7">
    <cfRule type="expression" dxfId="160" priority="8" stopIfTrue="1">
      <formula>C7=CléPersonnalisée2</formula>
    </cfRule>
    <cfRule type="expression" dxfId="159" priority="9" stopIfTrue="1">
      <formula>C7=CléPersonnalisée1</formula>
    </cfRule>
    <cfRule type="expression" dxfId="158" priority="10" stopIfTrue="1">
      <formula>C7=CléMaladie</formula>
    </cfRule>
    <cfRule type="expression" dxfId="157" priority="11" stopIfTrue="1">
      <formula>C7=CléPersonnel</formula>
    </cfRule>
    <cfRule type="expression" dxfId="156" priority="12" stopIfTrue="1">
      <formula>C7=CléCongé</formula>
    </cfRule>
  </conditionalFormatting>
  <conditionalFormatting sqref="AH7:AH10">
    <cfRule type="dataBar" priority="13">
      <dataBar>
        <cfvo type="min"/>
        <cfvo type="formula" val="DATEDIF(DATE(AnnéeCalendrier,2,1),DATE(AnnéeCalendrier,3,1),&quot;d&quot;)"/>
        <color theme="2" tint="-0.249977111117893"/>
      </dataBar>
      <extLst>
        <ext xmlns:x14="http://schemas.microsoft.com/office/spreadsheetml/2009/9/main" uri="{B025F937-C7B1-47D3-B67F-A62EFF666E3E}">
          <x14:id>{BE8EE6B4-4027-444F-8A72-B7299726C002}</x14:id>
        </ext>
      </extLst>
    </cfRule>
  </conditionalFormatting>
  <conditionalFormatting sqref="AB7:AG7">
    <cfRule type="expression" priority="1" stopIfTrue="1">
      <formula>AB7=""</formula>
    </cfRule>
  </conditionalFormatting>
  <conditionalFormatting sqref="AB7:AG7">
    <cfRule type="expression" dxfId="155" priority="2" stopIfTrue="1">
      <formula>AB7=CléPersonnalisée2</formula>
    </cfRule>
    <cfRule type="expression" dxfId="154" priority="3" stopIfTrue="1">
      <formula>AB7=CléPersonnalisée1</formula>
    </cfRule>
    <cfRule type="expression" dxfId="153" priority="4" stopIfTrue="1">
      <formula>AB7=CléMaladie</formula>
    </cfRule>
    <cfRule type="expression" dxfId="152" priority="5" stopIfTrue="1">
      <formula>AB7=CléPersonnel</formula>
    </cfRule>
    <cfRule type="expression" dxfId="151" priority="6" stopIfTrue="1">
      <formula>AB7=CléCongé</formula>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76989396-17D9-C94E-8687-27625F3C761A}"/>
    <dataValidation allowBlank="1" showInputMessage="1" showErrorMessage="1" prompt="Entrez une étiquette pour décrire la clé personnalisée à gauche" sqref="N2 S2" xr:uid="{E4CAF91F-254D-8643-91AD-289736A06073}"/>
    <dataValidation allowBlank="1" showInputMessage="1" showErrorMessage="1" prompt="Entrez une lettre et personnalisez l’étiquette à droite pour ajouter un élément de clé" sqref="R2" xr:uid="{17AF1C3D-8DAF-BA41-8FD6-DBBC64982200}"/>
    <dataValidation allowBlank="1" showInputMessage="1" showErrorMessage="1" prompt="Suivez les absences du mois de décembre dans cette feuille de calcul" sqref="A1" xr:uid="{4BF7655A-DB55-2542-8B74-B74CF9E898B0}"/>
    <dataValidation allowBlank="1" showInputMessage="1" showErrorMessage="1" prompt="Année mise à jour automatiquement en fonction de l’année entrée dans la feuille de calcul Janvier" sqref="AH4" xr:uid="{DA05AD42-F065-DF47-B26E-5345BE20189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E8EE6B4-4027-444F-8A72-B7299726C002}">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4943B-2017-FF47-82C2-C9BBD87F8A45}">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444B-4E5A-0446-B36D-9ACF4CF0A641}">
  <sheetPr>
    <tabColor theme="7" tint="0.79998168889431442"/>
  </sheetPr>
  <dimension ref="A1:AL25"/>
  <sheetViews>
    <sheetView showGridLines="0" topLeftCell="A12" zoomScaleNormal="100" workbookViewId="0">
      <selection activeCell="B14" sqref="B14:J25"/>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t="s">
        <v>43</v>
      </c>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0</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 t="s">
        <v>52</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79</v>
      </c>
      <c r="C7" s="2"/>
      <c r="D7" s="2"/>
      <c r="E7" s="2"/>
      <c r="F7" s="2"/>
      <c r="G7" s="2"/>
      <c r="H7" s="2"/>
      <c r="I7" s="2"/>
      <c r="J7" s="2"/>
      <c r="K7" s="2"/>
      <c r="L7" s="2"/>
      <c r="M7" s="2"/>
      <c r="N7" s="2"/>
      <c r="O7" s="2"/>
      <c r="P7" s="2"/>
      <c r="Q7" s="18"/>
      <c r="R7" s="18"/>
      <c r="S7" s="18"/>
      <c r="T7" s="18"/>
      <c r="U7" s="18"/>
      <c r="V7" s="18"/>
      <c r="W7" s="18"/>
      <c r="X7" s="18"/>
      <c r="Y7" s="18"/>
      <c r="Z7" s="2"/>
      <c r="AA7" s="2"/>
      <c r="AB7" s="2"/>
      <c r="AC7" s="2"/>
      <c r="AD7" s="2"/>
      <c r="AE7" s="2"/>
      <c r="AF7" s="2"/>
      <c r="AG7" s="2"/>
      <c r="AH7" s="34">
        <v>310</v>
      </c>
      <c r="AI7" s="20" t="s">
        <v>89</v>
      </c>
      <c r="AJ7" s="42" t="s">
        <v>89</v>
      </c>
      <c r="AK7" s="20"/>
      <c r="AL7" s="20"/>
    </row>
    <row r="8" spans="2:38" ht="30" customHeight="1">
      <c r="B8" s="17" t="s">
        <v>85</v>
      </c>
      <c r="C8" s="2"/>
      <c r="D8" s="2"/>
      <c r="E8" s="2"/>
      <c r="F8" s="2"/>
      <c r="G8" s="2"/>
      <c r="H8" s="2"/>
      <c r="I8" s="2"/>
      <c r="J8" s="2"/>
      <c r="K8" s="2"/>
      <c r="L8" s="18"/>
      <c r="M8" s="18"/>
      <c r="N8" s="18"/>
      <c r="O8" s="2"/>
      <c r="P8" s="2"/>
      <c r="Q8" s="2"/>
      <c r="R8" s="2"/>
      <c r="S8" s="2"/>
      <c r="T8" s="2"/>
      <c r="U8" s="2"/>
      <c r="V8" s="2"/>
      <c r="W8" s="2"/>
      <c r="X8" s="2"/>
      <c r="Y8" s="2"/>
      <c r="Z8" s="2"/>
      <c r="AA8" s="2"/>
      <c r="AB8" s="2"/>
      <c r="AC8" s="2"/>
      <c r="AD8" s="2"/>
      <c r="AE8" s="2"/>
      <c r="AF8" s="2"/>
      <c r="AG8" s="2"/>
      <c r="AH8" s="34">
        <v>84</v>
      </c>
      <c r="AI8" s="21"/>
      <c r="AJ8" s="42" t="s">
        <v>89</v>
      </c>
      <c r="AK8" s="21"/>
      <c r="AL8" s="20" t="s">
        <v>94</v>
      </c>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34">
        <f>COUNTA(Décembre6[[#This Row],[1]:[31]])</f>
        <v>0</v>
      </c>
      <c r="AI9" s="21"/>
      <c r="AJ9" s="42">
        <f t="shared" ref="AJ9:AJ10" si="0">AH9-AI9</f>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34">
        <f>COUNTA(Décembre6[[#This Row],[1]:[31]])</f>
        <v>0</v>
      </c>
      <c r="AI10" s="21"/>
      <c r="AJ10" s="42">
        <f t="shared" si="0"/>
        <v>0</v>
      </c>
      <c r="AK10" s="21"/>
      <c r="AL10" s="20"/>
    </row>
    <row r="11" spans="2:38" ht="30" customHeight="1">
      <c r="B11" s="12"/>
      <c r="C11" s="9">
        <f>SUBTOTAL(103,Décembre6[1])</f>
        <v>0</v>
      </c>
      <c r="D11" s="9">
        <f>SUBTOTAL(103,Décembre6[2])</f>
        <v>0</v>
      </c>
      <c r="E11" s="9">
        <f>SUBTOTAL(103,Décembre6[3])</f>
        <v>0</v>
      </c>
      <c r="F11" s="9">
        <f>SUBTOTAL(103,Décembre6[4])</f>
        <v>0</v>
      </c>
      <c r="G11" s="9">
        <f>SUBTOTAL(103,Décembre6[5])</f>
        <v>0</v>
      </c>
      <c r="H11" s="9">
        <f>SUBTOTAL(103,Décembre6[6])</f>
        <v>0</v>
      </c>
      <c r="I11" s="9">
        <f>SUBTOTAL(103,Décembre6[7])</f>
        <v>0</v>
      </c>
      <c r="J11" s="9">
        <f>SUBTOTAL(103,Décembre6[8])</f>
        <v>0</v>
      </c>
      <c r="K11" s="9">
        <f>SUBTOTAL(103,Décembre6[9])</f>
        <v>0</v>
      </c>
      <c r="L11" s="9">
        <f>SUBTOTAL(103,Décembre6[10])</f>
        <v>0</v>
      </c>
      <c r="M11" s="9">
        <f>SUBTOTAL(103,Décembre6[11])</f>
        <v>0</v>
      </c>
      <c r="N11" s="9">
        <f>SUBTOTAL(103,Décembre6[12])</f>
        <v>0</v>
      </c>
      <c r="O11" s="9">
        <f>SUBTOTAL(103,Décembre6[13])</f>
        <v>0</v>
      </c>
      <c r="P11" s="9">
        <f>SUBTOTAL(103,Décembre6[14])</f>
        <v>0</v>
      </c>
      <c r="Q11" s="9">
        <f>SUBTOTAL(103,Décembre6[15])</f>
        <v>0</v>
      </c>
      <c r="R11" s="9">
        <f>SUBTOTAL(103,Décembre6[16])</f>
        <v>0</v>
      </c>
      <c r="S11" s="9">
        <f>SUBTOTAL(103,Décembre6[17])</f>
        <v>0</v>
      </c>
      <c r="T11" s="9">
        <f>SUBTOTAL(103,Décembre6[18])</f>
        <v>0</v>
      </c>
      <c r="U11" s="9">
        <f>SUBTOTAL(103,Décembre6[19])</f>
        <v>0</v>
      </c>
      <c r="V11" s="9">
        <f>SUBTOTAL(103,Décembre6[20])</f>
        <v>0</v>
      </c>
      <c r="W11" s="9">
        <f>SUBTOTAL(103,Décembre6[21])</f>
        <v>0</v>
      </c>
      <c r="X11" s="9">
        <f>SUBTOTAL(103,Décembre6[22])</f>
        <v>0</v>
      </c>
      <c r="Y11" s="9">
        <f>SUBTOTAL(103,Décembre6[23])</f>
        <v>0</v>
      </c>
      <c r="Z11" s="9">
        <f>SUBTOTAL(103,Décembre6[24])</f>
        <v>0</v>
      </c>
      <c r="AA11" s="9">
        <f>SUBTOTAL(103,Décembre6[25])</f>
        <v>0</v>
      </c>
      <c r="AB11" s="9">
        <f>SUBTOTAL(103,Décembre6[26])</f>
        <v>0</v>
      </c>
      <c r="AC11" s="9">
        <f>SUBTOTAL(103,Décembre6[27])</f>
        <v>0</v>
      </c>
      <c r="AD11" s="9">
        <f>SUBTOTAL(103,Décembre6[28])</f>
        <v>0</v>
      </c>
      <c r="AE11" s="9">
        <f>SUBTOTAL(103,Décembre6[29])</f>
        <v>0</v>
      </c>
      <c r="AF11" s="9">
        <f>SUBTOTAL(103,Décembre6[30])</f>
        <v>0</v>
      </c>
      <c r="AG11" s="9">
        <f>SUBTOTAL(103,Décembre6[31])</f>
        <v>0</v>
      </c>
      <c r="AH11" s="35">
        <f>SUBTOTAL(109,Décembre6[[Total ]])</f>
        <v>394</v>
      </c>
      <c r="AI11" s="22"/>
      <c r="AJ11" s="43">
        <f>SUM(Décembre6[[Reste dû ]])</f>
        <v>0</v>
      </c>
      <c r="AK11" s="22"/>
      <c r="AL11" s="22"/>
    </row>
    <row r="14" spans="2:38" ht="30" customHeight="1">
      <c r="B14" s="29" t="s">
        <v>72</v>
      </c>
      <c r="C14" s="36">
        <f>SUM(C15:C18)</f>
        <v>0</v>
      </c>
      <c r="D14" s="36"/>
    </row>
    <row r="15" spans="2:38" ht="30" customHeight="1">
      <c r="B15" s="27" t="s">
        <v>80</v>
      </c>
      <c r="C15" s="37">
        <v>0</v>
      </c>
      <c r="D15" s="28" t="s">
        <v>77</v>
      </c>
    </row>
    <row r="16" spans="2:38" ht="30" customHeight="1">
      <c r="B16" s="27"/>
      <c r="C16" s="37"/>
    </row>
    <row r="17" spans="2:9" ht="30" customHeight="1">
      <c r="B17" s="27"/>
      <c r="C17" s="37"/>
    </row>
    <row r="18" spans="2:9" ht="30" customHeight="1">
      <c r="B18" s="27"/>
      <c r="C18" s="37"/>
    </row>
    <row r="20" spans="2:9" ht="30" customHeight="1">
      <c r="B20" s="39" t="s">
        <v>76</v>
      </c>
    </row>
    <row r="21" spans="2:9" ht="30" customHeight="1">
      <c r="B21" s="49">
        <f>AJ11</f>
        <v>0</v>
      </c>
      <c r="C21" s="7" t="s">
        <v>83</v>
      </c>
    </row>
    <row r="22" spans="2:9" ht="30" customHeight="1">
      <c r="B22" s="49">
        <v>140</v>
      </c>
      <c r="C22" s="7" t="s">
        <v>93</v>
      </c>
      <c r="I22" s="7" t="s">
        <v>92</v>
      </c>
    </row>
    <row r="23" spans="2:9" ht="30" customHeight="1">
      <c r="B23" s="40">
        <v>84</v>
      </c>
      <c r="C23" s="7" t="s">
        <v>86</v>
      </c>
    </row>
    <row r="24" spans="2:9" ht="30" customHeight="1">
      <c r="B24" s="41">
        <f>C14</f>
        <v>0</v>
      </c>
      <c r="C24" s="7" t="s">
        <v>81</v>
      </c>
    </row>
    <row r="25" spans="2:9" ht="30" customHeight="1">
      <c r="B25" s="38">
        <v>140</v>
      </c>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1083" priority="2" stopIfTrue="1">
      <formula>C7=CléPersonnalisée2</formula>
    </cfRule>
    <cfRule type="expression" dxfId="1082" priority="3" stopIfTrue="1">
      <formula>C7=CléPersonnalisée1</formula>
    </cfRule>
    <cfRule type="expression" dxfId="1081" priority="4" stopIfTrue="1">
      <formula>C7=CléMaladie</formula>
    </cfRule>
    <cfRule type="expression" dxfId="1080" priority="5" stopIfTrue="1">
      <formula>C7=CléPersonnel</formula>
    </cfRule>
    <cfRule type="expression" dxfId="1079"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{1440D14D-39ED-1246-9B1F-3602E1E22B1D}</x14:id>
        </ext>
      </extLst>
    </cfRule>
  </conditionalFormatting>
  <dataValidations count="6">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A55BF620-1AD0-414C-A862-ADAB95061776}"/>
    <dataValidation allowBlank="1" showInputMessage="1" showErrorMessage="1" prompt="Nom du mois pour ce calendrier des absences dans cette cellule. Le total des absences pour ce mois figure dans la dernière cellule du tableau. Sélectionnez les noms des employés dans la colonne B du tableau" sqref="B4" xr:uid="{C66DD0CA-A509-2F4F-8B0C-208F20A19759}"/>
    <dataValidation allowBlank="1" showInputMessage="1" showErrorMessage="1" prompt="Entrez une étiquette pour décrire la clé personnalisée à gauche" sqref="N2 S2" xr:uid="{1C040103-77E4-6A42-968F-5F56A88A75C1}"/>
    <dataValidation allowBlank="1" showInputMessage="1" showErrorMessage="1" prompt="Entrez une lettre et personnalisez l’étiquette à droite pour ajouter un élément de clé" sqref="R2" xr:uid="{28D3569C-F2CD-8342-8D24-42DDBB9751A0}"/>
    <dataValidation allowBlank="1" showInputMessage="1" showErrorMessage="1" prompt="Suivez les absences du mois de décembre dans cette feuille de calcul" sqref="A1" xr:uid="{B414F295-663D-4747-98E6-25B5EF2845D1}"/>
    <dataValidation allowBlank="1" showInputMessage="1" showErrorMessage="1" prompt="Année mise à jour automatiquement en fonction de l’année entrée dans la feuille de calcul Janvier" sqref="AH4" xr:uid="{7C199B0F-1FE9-6B41-BC86-263CE60C686E}"/>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40D14D-39ED-1246-9B1F-3602E1E22B1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EBE79-357E-9D4A-B44A-FA07ED98A5F5}">
  <sheetPr>
    <tabColor theme="7" tint="0.79998168889431442"/>
  </sheetPr>
  <dimension ref="A1:AJ27"/>
  <sheetViews>
    <sheetView showGridLines="0" topLeftCell="H1" zoomScaleNormal="100" workbookViewId="0">
      <selection activeCell="B27" sqref="B27"/>
    </sheetView>
  </sheetViews>
  <sheetFormatPr baseColWidth="10" defaultColWidth="9.1640625" defaultRowHeight="30" customHeight="1"/>
  <cols>
    <col min="1" max="1" width="2.6640625" style="7" customWidth="1"/>
    <col min="2" max="2" width="25.6640625" style="7" customWidth="1"/>
    <col min="3" max="3" width="6.33203125" style="7" customWidth="1"/>
    <col min="4" max="31" width="4.6640625" style="7" customWidth="1"/>
    <col min="32" max="32" width="13.5" style="7" customWidth="1"/>
    <col min="33" max="34" width="9.1640625" customWidth="1"/>
    <col min="35" max="35" width="9" customWidth="1"/>
    <col min="36" max="36" width="21" customWidth="1"/>
  </cols>
  <sheetData>
    <row r="1" spans="2:36" ht="50" customHeight="1">
      <c r="B1" s="10" t="s">
        <v>65</v>
      </c>
    </row>
    <row r="2" spans="2:36" ht="15" customHeight="1">
      <c r="B2" s="14"/>
      <c r="C2" s="3"/>
      <c r="D2" s="66" t="s">
        <v>44</v>
      </c>
      <c r="E2" s="67"/>
      <c r="F2" s="4"/>
      <c r="G2" s="69" t="s">
        <v>59</v>
      </c>
      <c r="H2" s="69"/>
      <c r="I2" s="5"/>
      <c r="J2" s="69" t="s">
        <v>60</v>
      </c>
      <c r="K2" s="69"/>
      <c r="L2" s="69"/>
      <c r="M2" s="69"/>
      <c r="N2" s="68"/>
      <c r="O2" s="68"/>
      <c r="P2" s="68"/>
      <c r="Q2" s="68"/>
      <c r="R2" s="15"/>
      <c r="S2" s="68"/>
      <c r="T2" s="68"/>
      <c r="U2" s="68"/>
      <c r="V2" s="68"/>
    </row>
    <row r="3" spans="2:36" ht="15" customHeight="1">
      <c r="B3" s="10"/>
    </row>
    <row r="4" spans="2:36" ht="30" customHeight="1">
      <c r="B4" s="13" t="s">
        <v>32</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13">
        <v>2020</v>
      </c>
    </row>
    <row r="5" spans="2:36" ht="15" customHeight="1">
      <c r="B5" s="13"/>
      <c r="C5" s="1" t="s">
        <v>67</v>
      </c>
      <c r="D5" s="1" t="s">
        <v>54</v>
      </c>
      <c r="E5" s="1" t="s">
        <v>55</v>
      </c>
      <c r="F5" s="1" t="s">
        <v>56</v>
      </c>
      <c r="G5" s="1" t="s">
        <v>57</v>
      </c>
      <c r="H5" s="1" t="s">
        <v>51</v>
      </c>
      <c r="I5" s="1" t="s">
        <v>52</v>
      </c>
      <c r="J5" s="1" t="s">
        <v>53</v>
      </c>
      <c r="K5" s="1" t="s">
        <v>54</v>
      </c>
      <c r="L5" s="1" t="s">
        <v>55</v>
      </c>
      <c r="M5" s="1" t="s">
        <v>56</v>
      </c>
      <c r="N5" s="1" t="s">
        <v>57</v>
      </c>
      <c r="O5" s="1" t="s">
        <v>51</v>
      </c>
      <c r="P5" s="1" t="s">
        <v>52</v>
      </c>
      <c r="Q5" s="1" t="s">
        <v>53</v>
      </c>
      <c r="R5" s="1" t="s">
        <v>54</v>
      </c>
      <c r="S5" s="1" t="s">
        <v>55</v>
      </c>
      <c r="T5" s="1" t="s">
        <v>56</v>
      </c>
      <c r="U5" s="1" t="s">
        <v>57</v>
      </c>
      <c r="V5" s="1" t="s">
        <v>51</v>
      </c>
      <c r="W5" s="1" t="s">
        <v>52</v>
      </c>
      <c r="X5" s="1" t="s">
        <v>53</v>
      </c>
      <c r="Y5" s="1" t="s">
        <v>54</v>
      </c>
      <c r="Z5" s="1" t="s">
        <v>55</v>
      </c>
      <c r="AA5" s="1" t="s">
        <v>56</v>
      </c>
      <c r="AB5" s="1" t="s">
        <v>57</v>
      </c>
      <c r="AC5" s="1" t="s">
        <v>51</v>
      </c>
      <c r="AD5" s="1" t="s">
        <v>52</v>
      </c>
      <c r="AE5" s="1" t="s">
        <v>53</v>
      </c>
      <c r="AF5" s="13"/>
    </row>
    <row r="6" spans="2:36"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11" t="s">
        <v>58</v>
      </c>
      <c r="AG6" s="19" t="s">
        <v>59</v>
      </c>
      <c r="AH6" s="25" t="s">
        <v>63</v>
      </c>
      <c r="AI6" s="23" t="s">
        <v>61</v>
      </c>
      <c r="AJ6" s="24" t="s">
        <v>62</v>
      </c>
    </row>
    <row r="7" spans="2:36" ht="30" customHeight="1">
      <c r="B7" s="17" t="s">
        <v>75</v>
      </c>
      <c r="C7" s="2"/>
      <c r="D7" s="2"/>
      <c r="E7" s="2"/>
      <c r="F7" s="2"/>
      <c r="G7" s="2"/>
      <c r="H7" s="2"/>
      <c r="I7" s="2"/>
      <c r="J7" s="18"/>
      <c r="K7" s="18"/>
      <c r="L7" s="18"/>
      <c r="M7" s="18"/>
      <c r="N7" s="18"/>
      <c r="O7" s="18"/>
      <c r="P7" s="18"/>
      <c r="Q7" s="18"/>
      <c r="R7" s="2"/>
      <c r="S7" s="2"/>
      <c r="T7" s="2"/>
      <c r="U7" s="2"/>
      <c r="V7" s="2"/>
      <c r="W7" s="2"/>
      <c r="X7" s="2"/>
      <c r="Y7" s="2"/>
      <c r="Z7" s="2"/>
      <c r="AA7" s="2"/>
      <c r="AB7" s="2"/>
      <c r="AC7" s="2"/>
      <c r="AD7" s="2"/>
      <c r="AE7" s="2"/>
      <c r="AF7" s="44">
        <v>200</v>
      </c>
      <c r="AG7" s="45"/>
      <c r="AH7" s="42">
        <f t="shared" ref="AH7:AH10" si="0">(AF7)-(AG7)</f>
        <v>200</v>
      </c>
      <c r="AI7" s="45"/>
      <c r="AJ7" s="20" t="s">
        <v>101</v>
      </c>
    </row>
    <row r="8" spans="2:36" ht="30" customHeight="1">
      <c r="B8" s="17" t="s">
        <v>91</v>
      </c>
      <c r="C8" s="2"/>
      <c r="D8" s="2"/>
      <c r="E8" s="2"/>
      <c r="F8" s="2"/>
      <c r="G8" s="2"/>
      <c r="H8" s="2"/>
      <c r="I8" s="2"/>
      <c r="J8" s="2"/>
      <c r="K8" s="2"/>
      <c r="L8" s="2"/>
      <c r="M8" s="2"/>
      <c r="N8" s="2"/>
      <c r="O8" s="2"/>
      <c r="P8" s="2"/>
      <c r="Q8" s="2"/>
      <c r="R8" s="2"/>
      <c r="S8" s="2"/>
      <c r="T8" s="2"/>
      <c r="U8" s="18"/>
      <c r="V8" s="18"/>
      <c r="W8" s="18"/>
      <c r="X8" s="18"/>
      <c r="Y8" s="18"/>
      <c r="Z8" s="18"/>
      <c r="AA8" s="18"/>
      <c r="AB8" s="18"/>
      <c r="AC8" s="18"/>
      <c r="AD8" s="18"/>
      <c r="AE8" s="18"/>
      <c r="AF8" s="44">
        <v>318</v>
      </c>
      <c r="AG8" s="45"/>
      <c r="AH8" s="42">
        <f t="shared" si="0"/>
        <v>318</v>
      </c>
      <c r="AI8" s="45" t="s">
        <v>102</v>
      </c>
      <c r="AJ8" s="20" t="s">
        <v>98</v>
      </c>
    </row>
    <row r="9" spans="2:36"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44">
        <v>0</v>
      </c>
      <c r="AG9" s="45"/>
      <c r="AH9" s="42">
        <f t="shared" si="0"/>
        <v>0</v>
      </c>
      <c r="AI9" s="45"/>
      <c r="AJ9" s="20"/>
    </row>
    <row r="10" spans="2:36"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44">
        <v>0</v>
      </c>
      <c r="AG10" s="45"/>
      <c r="AH10" s="42">
        <f t="shared" si="0"/>
        <v>0</v>
      </c>
      <c r="AI10" s="45"/>
      <c r="AJ10" s="20"/>
    </row>
    <row r="11" spans="2:36" ht="30" customHeight="1">
      <c r="B11" s="12"/>
      <c r="C11" s="9">
        <f>SUBTOTAL(103,Décembre67[1])</f>
        <v>0</v>
      </c>
      <c r="D11" s="9">
        <f>SUBTOTAL(103,Décembre67[2])</f>
        <v>0</v>
      </c>
      <c r="E11" s="9">
        <f>SUBTOTAL(103,Décembre67[3])</f>
        <v>0</v>
      </c>
      <c r="F11" s="9">
        <f>SUBTOTAL(103,Décembre67[4])</f>
        <v>0</v>
      </c>
      <c r="G11" s="9">
        <f>SUBTOTAL(103,Décembre67[5])</f>
        <v>0</v>
      </c>
      <c r="H11" s="9">
        <f>SUBTOTAL(103,Décembre67[6])</f>
        <v>0</v>
      </c>
      <c r="I11" s="9">
        <f>SUBTOTAL(103,Décembre67[7])</f>
        <v>0</v>
      </c>
      <c r="J11" s="9">
        <f>SUBTOTAL(103,Décembre67[8])</f>
        <v>0</v>
      </c>
      <c r="K11" s="9">
        <f>SUBTOTAL(103,Décembre67[9])</f>
        <v>0</v>
      </c>
      <c r="L11" s="9">
        <f>SUBTOTAL(103,Décembre67[10])</f>
        <v>0</v>
      </c>
      <c r="M11" s="9">
        <f>SUBTOTAL(103,Décembre67[11])</f>
        <v>0</v>
      </c>
      <c r="N11" s="9">
        <f>SUBTOTAL(103,Décembre67[12])</f>
        <v>0</v>
      </c>
      <c r="O11" s="9">
        <f>SUBTOTAL(103,Décembre67[13])</f>
        <v>0</v>
      </c>
      <c r="P11" s="9">
        <f>SUBTOTAL(103,Décembre67[14])</f>
        <v>0</v>
      </c>
      <c r="Q11" s="9">
        <f>SUBTOTAL(103,Décembre67[15])</f>
        <v>0</v>
      </c>
      <c r="R11" s="9">
        <f>SUBTOTAL(103,Décembre67[16])</f>
        <v>0</v>
      </c>
      <c r="S11" s="9">
        <f>SUBTOTAL(103,Décembre67[17])</f>
        <v>0</v>
      </c>
      <c r="T11" s="9">
        <f>SUBTOTAL(103,Décembre67[18])</f>
        <v>0</v>
      </c>
      <c r="U11" s="9">
        <f>SUBTOTAL(103,Décembre67[19])</f>
        <v>0</v>
      </c>
      <c r="V11" s="9">
        <f>SUBTOTAL(103,Décembre67[20])</f>
        <v>0</v>
      </c>
      <c r="W11" s="9">
        <f>SUBTOTAL(103,Décembre67[21])</f>
        <v>0</v>
      </c>
      <c r="X11" s="9">
        <f>SUBTOTAL(103,Décembre67[22])</f>
        <v>0</v>
      </c>
      <c r="Y11" s="9">
        <f>SUBTOTAL(103,Décembre67[23])</f>
        <v>0</v>
      </c>
      <c r="Z11" s="9">
        <f>SUBTOTAL(103,Décembre67[24])</f>
        <v>0</v>
      </c>
      <c r="AA11" s="9">
        <f>SUBTOTAL(103,Décembre67[25])</f>
        <v>0</v>
      </c>
      <c r="AB11" s="9">
        <f>SUBTOTAL(103,Décembre67[26])</f>
        <v>0</v>
      </c>
      <c r="AC11" s="9">
        <f>SUBTOTAL(103,Décembre67[27])</f>
        <v>0</v>
      </c>
      <c r="AD11" s="9">
        <f>SUBTOTAL(103,Décembre67[28])</f>
        <v>0</v>
      </c>
      <c r="AE11" s="9">
        <f>SUBTOTAL(103,Décembre67[29])</f>
        <v>0</v>
      </c>
      <c r="AF11" s="46">
        <f>SUBTOTAL(109,Décembre67[[Total ]])</f>
        <v>518</v>
      </c>
      <c r="AG11" s="47"/>
      <c r="AH11" s="47"/>
      <c r="AI11" s="47"/>
      <c r="AJ11" s="22"/>
    </row>
    <row r="14" spans="2:36" ht="30" customHeight="1">
      <c r="B14" s="29" t="s">
        <v>72</v>
      </c>
      <c r="C14" s="36">
        <f>SUM(C15:C18)</f>
        <v>120</v>
      </c>
    </row>
    <row r="15" spans="2:36" ht="30" customHeight="1">
      <c r="B15" s="27" t="s">
        <v>95</v>
      </c>
      <c r="C15" s="37">
        <v>60</v>
      </c>
    </row>
    <row r="16" spans="2:36" ht="30" customHeight="1">
      <c r="B16" s="27" t="s">
        <v>48</v>
      </c>
      <c r="C16" s="37">
        <v>60</v>
      </c>
    </row>
    <row r="17" spans="2:4" ht="30" customHeight="1">
      <c r="B17" s="27"/>
      <c r="C17" s="37"/>
    </row>
    <row r="18" spans="2:4" ht="30" customHeight="1">
      <c r="B18" s="27"/>
      <c r="C18" s="37"/>
    </row>
    <row r="20" spans="2:4" ht="30" customHeight="1">
      <c r="B20" s="39" t="s">
        <v>76</v>
      </c>
      <c r="C20" s="48"/>
    </row>
    <row r="21" spans="2:4" ht="30" customHeight="1">
      <c r="B21" s="52">
        <v>140</v>
      </c>
      <c r="C21" s="7" t="s">
        <v>99</v>
      </c>
      <c r="D21" s="50"/>
    </row>
    <row r="22" spans="2:4" ht="30" customHeight="1">
      <c r="B22" s="49">
        <v>140</v>
      </c>
      <c r="C22" s="7" t="s">
        <v>100</v>
      </c>
    </row>
    <row r="23" spans="2:4" ht="30" customHeight="1">
      <c r="B23" s="53">
        <v>-60</v>
      </c>
      <c r="C23" s="7" t="s">
        <v>104</v>
      </c>
    </row>
    <row r="24" spans="2:4" ht="30" customHeight="1">
      <c r="B24" s="51" t="s">
        <v>88</v>
      </c>
    </row>
    <row r="25" spans="2:4" ht="30" customHeight="1">
      <c r="B25" s="38">
        <f>SUM(B21:B23)</f>
        <v>220</v>
      </c>
    </row>
    <row r="27" spans="2:4" ht="30" customHeight="1">
      <c r="B27" s="55" t="s">
        <v>103</v>
      </c>
    </row>
  </sheetData>
  <mergeCells count="6">
    <mergeCell ref="C4:AE4"/>
    <mergeCell ref="D2:E2"/>
    <mergeCell ref="G2:H2"/>
    <mergeCell ref="J2:M2"/>
    <mergeCell ref="N2:Q2"/>
    <mergeCell ref="S2:V2"/>
  </mergeCells>
  <conditionalFormatting sqref="C7:AE10">
    <cfRule type="expression" priority="1" stopIfTrue="1">
      <formula>C7=""</formula>
    </cfRule>
  </conditionalFormatting>
  <conditionalFormatting sqref="C7:AE10">
    <cfRule type="expression" dxfId="1001" priority="2" stopIfTrue="1">
      <formula>C7=CléPersonnalisée2</formula>
    </cfRule>
    <cfRule type="expression" dxfId="1000" priority="3" stopIfTrue="1">
      <formula>C7=CléPersonnalisée1</formula>
    </cfRule>
    <cfRule type="expression" dxfId="999" priority="4" stopIfTrue="1">
      <formula>C7=CléMaladie</formula>
    </cfRule>
    <cfRule type="expression" dxfId="998" priority="5" stopIfTrue="1">
      <formula>C7=CléPersonnel</formula>
    </cfRule>
    <cfRule type="expression" dxfId="997" priority="6" stopIfTrue="1">
      <formula>C7=CléCongé</formula>
    </cfRule>
  </conditionalFormatting>
  <conditionalFormatting sqref="AF7:AF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{59E16077-1DB2-E24C-B9A7-315BF20E033A}</x14:id>
        </ext>
      </extLst>
    </cfRule>
  </conditionalFormatting>
  <dataValidations count="5">
    <dataValidation allowBlank="1" showInputMessage="1" showErrorMessage="1" prompt="Année mise à jour automatiquement en fonction de l’année entrée dans la feuille de calcul Janvier" sqref="AF4" xr:uid="{29ABEE29-316F-2C4B-AAAE-7FB565422720}"/>
    <dataValidation allowBlank="1" showInputMessage="1" showErrorMessage="1" prompt="Suivez les absences du mois de décembre dans cette feuille de calcul" sqref="A1" xr:uid="{ED65D85B-5836-AB48-A451-7A06F48848F5}"/>
    <dataValidation allowBlank="1" showInputMessage="1" showErrorMessage="1" prompt="Entrez une lettre et personnalisez l’étiquette à droite pour ajouter un élément de clé" sqref="R2" xr:uid="{C308535D-BD63-6C4B-A43E-876EEE0E8C1B}"/>
    <dataValidation allowBlank="1" showInputMessage="1" showErrorMessage="1" prompt="Entrez une étiquette pour décrire la clé personnalisée à gauche" sqref="N2 S2" xr:uid="{3F4CEBB5-AA33-B847-AAA0-381817338B60}"/>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1DC28D19-2AD2-7A42-87F9-7772532BE36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9E16077-1DB2-E24C-B9A7-315BF20E033A}">
            <x14:dataBar minLength="0" maxLength="100">
              <x14:cfvo type="autoMin"/>
              <x14:cfvo type="formula">
                <xm:f>DATEDIF(DATE(AnnéeCalendrier,2,1),DATE(AnnéeCalendrier,3,1),"d")</xm:f>
              </x14:cfvo>
              <x14:negativeFillColor rgb="FFFF0000"/>
              <x14:axisColor rgb="FF000000"/>
            </x14:dataBar>
          </x14:cfRule>
          <xm:sqref>AF7:AF10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69719-DA38-3241-9E10-C6EB9E22366A}">
  <sheetPr>
    <tabColor theme="7" tint="0.79998168889431442"/>
  </sheetPr>
  <dimension ref="A1:AL24"/>
  <sheetViews>
    <sheetView showGridLines="0" zoomScaleNormal="100" workbookViewId="0">
      <selection activeCell="G23" sqref="G23"/>
    </sheetView>
  </sheetViews>
  <sheetFormatPr baseColWidth="10" defaultColWidth="9.1640625" defaultRowHeight="30" customHeight="1"/>
  <cols>
    <col min="1" max="1" width="2.6640625" style="7" customWidth="1"/>
    <col min="2" max="2" width="31.1640625" style="7" customWidth="1"/>
    <col min="3" max="3" width="5.6640625" style="7" customWidth="1"/>
    <col min="4"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33</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 t="s">
        <v>56</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90</v>
      </c>
      <c r="C7" s="2"/>
      <c r="D7" s="2"/>
      <c r="E7" s="2"/>
      <c r="F7" s="2"/>
      <c r="G7" s="2"/>
      <c r="H7" s="18"/>
      <c r="I7" s="18"/>
      <c r="J7" s="18"/>
      <c r="K7" s="18"/>
      <c r="L7" s="18"/>
      <c r="M7" s="18"/>
      <c r="N7" s="18"/>
      <c r="O7" s="18"/>
      <c r="P7" s="18"/>
      <c r="Q7" s="18"/>
      <c r="R7" s="2"/>
      <c r="S7" s="2"/>
      <c r="T7" s="2"/>
      <c r="U7" s="2"/>
      <c r="V7" s="2"/>
      <c r="W7" s="2"/>
      <c r="X7" s="2"/>
      <c r="Y7" s="2"/>
      <c r="Z7" s="2"/>
      <c r="AA7" s="2"/>
      <c r="AB7" s="2"/>
      <c r="AC7" s="2"/>
      <c r="AD7" s="2"/>
      <c r="AE7" s="2"/>
      <c r="AF7" s="2"/>
      <c r="AG7" s="2"/>
      <c r="AH7" s="6">
        <v>340</v>
      </c>
      <c r="AI7" s="20">
        <v>102</v>
      </c>
      <c r="AJ7" s="26">
        <f t="shared" ref="AJ7:AJ10" si="0">(AH7)-(AI7)</f>
        <v>238</v>
      </c>
      <c r="AK7" s="20"/>
      <c r="AL7" s="56" t="s">
        <v>107</v>
      </c>
    </row>
    <row r="8" spans="2:38" ht="30" customHeight="1">
      <c r="B8" s="17" t="s">
        <v>91</v>
      </c>
      <c r="C8" s="1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54"/>
      <c r="AL8" s="21" t="s">
        <v>96</v>
      </c>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COUNTA(Décembre678[[#This Row],[1]:[31]])</f>
        <v>0</v>
      </c>
      <c r="AI10" s="21"/>
      <c r="AJ10" s="26">
        <f t="shared" si="0"/>
        <v>0</v>
      </c>
      <c r="AK10" s="21"/>
      <c r="AL10" s="20"/>
    </row>
    <row r="11" spans="2:38" ht="30" customHeight="1">
      <c r="B11" s="12"/>
      <c r="C11" s="9">
        <f>SUBTOTAL(103,Décembre678[1])</f>
        <v>0</v>
      </c>
      <c r="D11" s="9">
        <f>SUBTOTAL(103,Décembre678[2])</f>
        <v>0</v>
      </c>
      <c r="E11" s="9">
        <f>SUBTOTAL(103,Décembre678[3])</f>
        <v>0</v>
      </c>
      <c r="F11" s="9">
        <f>SUBTOTAL(103,Décembre678[4])</f>
        <v>0</v>
      </c>
      <c r="G11" s="9">
        <f>SUBTOTAL(103,Décembre678[5])</f>
        <v>0</v>
      </c>
      <c r="H11" s="9">
        <f>SUBTOTAL(103,Décembre678[6])</f>
        <v>0</v>
      </c>
      <c r="I11" s="9">
        <f>SUBTOTAL(103,Décembre678[7])</f>
        <v>0</v>
      </c>
      <c r="J11" s="9">
        <f>SUBTOTAL(103,Décembre678[8])</f>
        <v>0</v>
      </c>
      <c r="K11" s="9">
        <f>SUBTOTAL(103,Décembre678[9])</f>
        <v>0</v>
      </c>
      <c r="L11" s="9">
        <f>SUBTOTAL(103,Décembre678[10])</f>
        <v>0</v>
      </c>
      <c r="M11" s="9">
        <f>SUBTOTAL(103,Décembre678[11])</f>
        <v>0</v>
      </c>
      <c r="N11" s="9">
        <f>SUBTOTAL(103,Décembre678[12])</f>
        <v>0</v>
      </c>
      <c r="O11" s="9">
        <f>SUBTOTAL(103,Décembre678[13])</f>
        <v>0</v>
      </c>
      <c r="P11" s="9">
        <f>SUBTOTAL(103,Décembre678[14])</f>
        <v>0</v>
      </c>
      <c r="Q11" s="9">
        <f>SUBTOTAL(103,Décembre678[15])</f>
        <v>0</v>
      </c>
      <c r="R11" s="9">
        <f>SUBTOTAL(103,Décembre678[16])</f>
        <v>0</v>
      </c>
      <c r="S11" s="9">
        <f>SUBTOTAL(103,Décembre678[17])</f>
        <v>0</v>
      </c>
      <c r="T11" s="9">
        <f>SUBTOTAL(103,Décembre678[18])</f>
        <v>0</v>
      </c>
      <c r="U11" s="9">
        <f>SUBTOTAL(103,Décembre678[19])</f>
        <v>0</v>
      </c>
      <c r="V11" s="9">
        <f>SUBTOTAL(103,Décembre678[20])</f>
        <v>0</v>
      </c>
      <c r="W11" s="9">
        <f>SUBTOTAL(103,Décembre678[21])</f>
        <v>0</v>
      </c>
      <c r="X11" s="9">
        <f>SUBTOTAL(103,Décembre678[22])</f>
        <v>0</v>
      </c>
      <c r="Y11" s="9">
        <f>SUBTOTAL(103,Décembre678[23])</f>
        <v>0</v>
      </c>
      <c r="Z11" s="9">
        <f>SUBTOTAL(103,Décembre678[24])</f>
        <v>0</v>
      </c>
      <c r="AA11" s="9">
        <f>SUBTOTAL(103,Décembre678[25])</f>
        <v>0</v>
      </c>
      <c r="AB11" s="9">
        <f>SUBTOTAL(103,Décembre678[26])</f>
        <v>0</v>
      </c>
      <c r="AC11" s="9">
        <f>SUBTOTAL(103,Décembre678[27])</f>
        <v>0</v>
      </c>
      <c r="AD11" s="9">
        <f>SUBTOTAL(103,Décembre678[28])</f>
        <v>0</v>
      </c>
      <c r="AE11" s="9">
        <f>SUBTOTAL(103,Décembre678[29])</f>
        <v>0</v>
      </c>
      <c r="AF11" s="9">
        <f>SUBTOTAL(103,Décembre678[30])</f>
        <v>0</v>
      </c>
      <c r="AG11" s="9">
        <f>SUBTOTAL(103,Décembre678[31])</f>
        <v>0</v>
      </c>
      <c r="AH11" s="9">
        <f>SUBTOTAL(109,Décembre678[[Total ]])</f>
        <v>340</v>
      </c>
      <c r="AI11" s="22"/>
      <c r="AJ11" s="22"/>
      <c r="AK11" s="22"/>
      <c r="AL11" s="22"/>
    </row>
    <row r="14" spans="2:38" ht="30" customHeight="1">
      <c r="B14" s="29" t="s">
        <v>72</v>
      </c>
      <c r="C14" s="36">
        <f>SUM(C15:C18)</f>
        <v>60</v>
      </c>
      <c r="D14" s="36"/>
    </row>
    <row r="15" spans="2:38" ht="30" customHeight="1">
      <c r="B15" s="27" t="s">
        <v>108</v>
      </c>
      <c r="C15" s="37">
        <v>60</v>
      </c>
      <c r="D15" s="28"/>
    </row>
    <row r="16" spans="2:38" ht="30" customHeight="1">
      <c r="B16" s="27"/>
      <c r="C16" s="37"/>
    </row>
    <row r="17" spans="2:3" ht="30" customHeight="1">
      <c r="B17" s="27"/>
      <c r="C17" s="37"/>
    </row>
    <row r="18" spans="2:3" ht="30" customHeight="1">
      <c r="B18" s="27"/>
      <c r="C18" s="37"/>
    </row>
    <row r="20" spans="2:3" ht="30" customHeight="1">
      <c r="B20" s="39" t="s">
        <v>76</v>
      </c>
      <c r="C20" s="60">
        <f>SUM(C21:C24)</f>
        <v>238</v>
      </c>
    </row>
    <row r="21" spans="2:3" ht="30" customHeight="1">
      <c r="B21" s="57" t="s">
        <v>108</v>
      </c>
      <c r="C21" s="58">
        <v>238</v>
      </c>
    </row>
    <row r="22" spans="2:3" ht="30" customHeight="1">
      <c r="B22" s="59"/>
      <c r="C22" s="58"/>
    </row>
    <row r="23" spans="2:3" ht="30" customHeight="1">
      <c r="B23" s="59"/>
      <c r="C23" s="58"/>
    </row>
    <row r="24" spans="2:3" ht="30" customHeight="1">
      <c r="B24" s="59"/>
      <c r="C24" s="58"/>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923" priority="2" stopIfTrue="1">
      <formula>C7=CléPersonnalisée2</formula>
    </cfRule>
    <cfRule type="expression" dxfId="922" priority="3" stopIfTrue="1">
      <formula>C7=CléPersonnalisée1</formula>
    </cfRule>
    <cfRule type="expression" dxfId="921" priority="4" stopIfTrue="1">
      <formula>C7=CléMaladie</formula>
    </cfRule>
    <cfRule type="expression" dxfId="920" priority="5" stopIfTrue="1">
      <formula>C7=CléPersonnel</formula>
    </cfRule>
    <cfRule type="expression" dxfId="919"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{1613D9A4-EFA1-F348-99B8-D0FA7BB1E055}</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DC74D6EA-98BA-5C4E-B3D3-DADDCF828310}"/>
    <dataValidation allowBlank="1" showInputMessage="1" showErrorMessage="1" prompt="Entrez une étiquette pour décrire la clé personnalisée à gauche" sqref="N2 S2" xr:uid="{F7FA1197-FA80-9947-9907-42B3CAEE797F}"/>
    <dataValidation allowBlank="1" showInputMessage="1" showErrorMessage="1" prompt="Entrez une lettre et personnalisez l’étiquette à droite pour ajouter un élément de clé" sqref="R2" xr:uid="{E230E776-5431-7845-A7BF-13C0A5B95E43}"/>
    <dataValidation allowBlank="1" showInputMessage="1" showErrorMessage="1" prompt="Suivez les absences du mois de décembre dans cette feuille de calcul" sqref="A1" xr:uid="{147FFD6D-A0F0-7D40-8A92-DA3073A4CB7A}"/>
    <dataValidation allowBlank="1" showInputMessage="1" showErrorMessage="1" prompt="Année mise à jour automatiquement en fonction de l’année entrée dans la feuille de calcul Janvier" sqref="AH4" xr:uid="{4668EBAF-06EC-344C-A44C-DD71540FD2F4}"/>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613D9A4-EFA1-F348-99B8-D0FA7BB1E055}">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00BB6-9DE0-744B-9F76-C8E7BE19DC9C}">
  <sheetPr>
    <tabColor theme="7" tint="0.79998168889431442"/>
  </sheetPr>
  <dimension ref="A1:AK11"/>
  <sheetViews>
    <sheetView showGridLines="0" topLeftCell="J1" zoomScaleNormal="100" workbookViewId="0">
      <selection activeCell="AI13" sqref="AI13"/>
    </sheetView>
  </sheetViews>
  <sheetFormatPr baseColWidth="10" defaultColWidth="9.1640625" defaultRowHeight="30" customHeight="1"/>
  <cols>
    <col min="1" max="1" width="2.6640625" style="7" customWidth="1"/>
    <col min="2" max="2" width="28.83203125" style="7" customWidth="1"/>
    <col min="3" max="32" width="4.6640625" style="7" customWidth="1"/>
    <col min="33" max="33" width="13.5" style="7" customWidth="1"/>
    <col min="34" max="35" width="9.1640625" customWidth="1"/>
    <col min="36" max="36" width="9" customWidth="1"/>
    <col min="37" max="37" width="21" customWidth="1"/>
  </cols>
  <sheetData>
    <row r="1" spans="2:37" ht="50" customHeight="1">
      <c r="B1" s="10" t="s">
        <v>65</v>
      </c>
    </row>
    <row r="2" spans="2:37" ht="15" customHeight="1">
      <c r="B2" s="14"/>
      <c r="C2" s="3"/>
      <c r="D2" s="66" t="s">
        <v>44</v>
      </c>
      <c r="E2" s="67"/>
      <c r="F2" s="4"/>
      <c r="G2" s="69" t="s">
        <v>59</v>
      </c>
      <c r="H2" s="69"/>
      <c r="I2" s="5"/>
      <c r="J2" s="69" t="s">
        <v>60</v>
      </c>
      <c r="K2" s="69"/>
      <c r="L2" s="69"/>
      <c r="M2" s="69"/>
      <c r="N2" s="68"/>
      <c r="O2" s="68"/>
      <c r="P2" s="68"/>
      <c r="Q2" s="68"/>
      <c r="R2" s="15"/>
      <c r="S2" s="68"/>
      <c r="T2" s="68"/>
      <c r="U2" s="68"/>
      <c r="V2" s="68"/>
    </row>
    <row r="3" spans="2:37" ht="15" customHeight="1">
      <c r="B3" s="10"/>
    </row>
    <row r="4" spans="2:37" ht="30" customHeight="1">
      <c r="B4" s="13" t="s">
        <v>34</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13">
        <v>2020</v>
      </c>
    </row>
    <row r="5" spans="2:37" ht="15" customHeight="1">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3"/>
    </row>
    <row r="6" spans="2:37"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c r="B7" s="1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44">
        <v>0</v>
      </c>
      <c r="AH7" s="20"/>
      <c r="AI7" s="26">
        <f t="shared" ref="AI7:AI10" si="0">(AG7)-(AH7)</f>
        <v>0</v>
      </c>
      <c r="AJ7" s="20"/>
      <c r="AK7" s="20"/>
    </row>
    <row r="8" spans="2:37" ht="30" customHeight="1">
      <c r="B8" s="17" t="s">
        <v>105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44">
        <v>0</v>
      </c>
      <c r="AH8" s="21"/>
      <c r="AI8" s="26">
        <f t="shared" si="0"/>
        <v>0</v>
      </c>
      <c r="AJ8" s="21"/>
      <c r="AK8" s="61" t="s">
        <v>110</v>
      </c>
    </row>
    <row r="9" spans="2:37"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44">
        <v>0</v>
      </c>
      <c r="AH9" s="21"/>
      <c r="AI9" s="26">
        <f t="shared" si="0"/>
        <v>0</v>
      </c>
      <c r="AJ9" s="21"/>
      <c r="AK9" s="20"/>
    </row>
    <row r="10" spans="2:37"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44">
        <v>0</v>
      </c>
      <c r="AH10" s="21"/>
      <c r="AI10" s="26">
        <f t="shared" si="0"/>
        <v>0</v>
      </c>
      <c r="AJ10" s="21"/>
      <c r="AK10" s="20"/>
    </row>
    <row r="11" spans="2:37" ht="30" customHeight="1">
      <c r="B11" s="12"/>
      <c r="C11" s="9">
        <f>SUBTOTAL(103,Décembre6789[1])</f>
        <v>0</v>
      </c>
      <c r="D11" s="9">
        <f>SUBTOTAL(103,Décembre6789[2])</f>
        <v>0</v>
      </c>
      <c r="E11" s="9">
        <f>SUBTOTAL(103,Décembre6789[3])</f>
        <v>0</v>
      </c>
      <c r="F11" s="9">
        <f>SUBTOTAL(103,Décembre6789[4])</f>
        <v>0</v>
      </c>
      <c r="G11" s="9">
        <f>SUBTOTAL(103,Décembre6789[5])</f>
        <v>0</v>
      </c>
      <c r="H11" s="9">
        <f>SUBTOTAL(103,Décembre6789[6])</f>
        <v>0</v>
      </c>
      <c r="I11" s="9">
        <f>SUBTOTAL(103,Décembre6789[7])</f>
        <v>0</v>
      </c>
      <c r="J11" s="9">
        <f>SUBTOTAL(103,Décembre6789[8])</f>
        <v>0</v>
      </c>
      <c r="K11" s="9">
        <f>SUBTOTAL(103,Décembre6789[9])</f>
        <v>0</v>
      </c>
      <c r="L11" s="9">
        <f>SUBTOTAL(103,Décembre6789[10])</f>
        <v>0</v>
      </c>
      <c r="M11" s="9">
        <f>SUBTOTAL(103,Décembre6789[11])</f>
        <v>0</v>
      </c>
      <c r="N11" s="9">
        <f>SUBTOTAL(103,Décembre6789[12])</f>
        <v>0</v>
      </c>
      <c r="O11" s="9">
        <f>SUBTOTAL(103,Décembre6789[13])</f>
        <v>0</v>
      </c>
      <c r="P11" s="9">
        <f>SUBTOTAL(103,Décembre6789[14])</f>
        <v>0</v>
      </c>
      <c r="Q11" s="9">
        <f>SUBTOTAL(103,Décembre6789[15])</f>
        <v>0</v>
      </c>
      <c r="R11" s="9">
        <f>SUBTOTAL(103,Décembre6789[16])</f>
        <v>0</v>
      </c>
      <c r="S11" s="9">
        <f>SUBTOTAL(103,Décembre6789[17])</f>
        <v>0</v>
      </c>
      <c r="T11" s="9">
        <f>SUBTOTAL(103,Décembre6789[18])</f>
        <v>0</v>
      </c>
      <c r="U11" s="9">
        <f>SUBTOTAL(103,Décembre6789[19])</f>
        <v>0</v>
      </c>
      <c r="V11" s="9">
        <f>SUBTOTAL(103,Décembre6789[20])</f>
        <v>0</v>
      </c>
      <c r="W11" s="9">
        <f>SUBTOTAL(103,Décembre6789[21])</f>
        <v>0</v>
      </c>
      <c r="X11" s="9">
        <f>SUBTOTAL(103,Décembre6789[22])</f>
        <v>0</v>
      </c>
      <c r="Y11" s="9">
        <f>SUBTOTAL(103,Décembre6789[23])</f>
        <v>0</v>
      </c>
      <c r="Z11" s="9">
        <f>SUBTOTAL(103,Décembre6789[24])</f>
        <v>0</v>
      </c>
      <c r="AA11" s="9">
        <f>SUBTOTAL(103,Décembre6789[25])</f>
        <v>0</v>
      </c>
      <c r="AB11" s="9">
        <f>SUBTOTAL(103,Décembre6789[26])</f>
        <v>0</v>
      </c>
      <c r="AC11" s="9">
        <f>SUBTOTAL(103,Décembre6789[27])</f>
        <v>0</v>
      </c>
      <c r="AD11" s="9">
        <f>SUBTOTAL(103,Décembre6789[28])</f>
        <v>0</v>
      </c>
      <c r="AE11" s="9">
        <f>SUBTOTAL(103,Décembre6789[29])</f>
        <v>0</v>
      </c>
      <c r="AF11" s="9">
        <f>SUBTOTAL(103,Décembre6789[30])</f>
        <v>0</v>
      </c>
      <c r="AG11" s="46">
        <f>SUBTOTAL(109,Décembre6789[[Total ]])</f>
        <v>0</v>
      </c>
      <c r="AH11" s="22"/>
      <c r="AI11" s="22"/>
      <c r="AJ11" s="22"/>
      <c r="AK11" s="22"/>
    </row>
  </sheetData>
  <mergeCells count="6">
    <mergeCell ref="C4:AF4"/>
    <mergeCell ref="D2:E2"/>
    <mergeCell ref="G2:H2"/>
    <mergeCell ref="J2:M2"/>
    <mergeCell ref="N2:Q2"/>
    <mergeCell ref="S2:V2"/>
  </mergeCells>
  <conditionalFormatting sqref="I7:AF7 C10:AF10 F9:AF9 C8:AF8">
    <cfRule type="expression" priority="25" stopIfTrue="1">
      <formula>C7=""</formula>
    </cfRule>
  </conditionalFormatting>
  <conditionalFormatting sqref="I7:AF7 C10:AF10 F9:AF9 C8:AF8">
    <cfRule type="expression" dxfId="841" priority="26" stopIfTrue="1">
      <formula>C7=CléPersonnalisée2</formula>
    </cfRule>
    <cfRule type="expression" dxfId="840" priority="27" stopIfTrue="1">
      <formula>C7=CléPersonnalisée1</formula>
    </cfRule>
    <cfRule type="expression" dxfId="839" priority="28" stopIfTrue="1">
      <formula>C7=CléMaladie</formula>
    </cfRule>
    <cfRule type="expression" dxfId="838" priority="29" stopIfTrue="1">
      <formula>C7=CléPersonnel</formula>
    </cfRule>
    <cfRule type="expression" dxfId="837" priority="30" stopIfTrue="1">
      <formula>C7=CléCongé</formula>
    </cfRule>
  </conditionalFormatting>
  <conditionalFormatting sqref="AG7:AG10">
    <cfRule type="dataBar" priority="31">
      <dataBar>
        <cfvo type="min"/>
        <cfvo type="formula" val="DATEDIF(DATE(AnnéeCalendrier,2,1),DATE(AnnéeCalendrier,3,1),&quot;d&quot;)"/>
        <color theme="2" tint="-0.249977111117893"/>
      </dataBar>
      <extLst>
        <ext xmlns:x14="http://schemas.microsoft.com/office/spreadsheetml/2009/9/main" uri="{B025F937-C7B1-47D3-B67F-A62EFF666E3E}">
          <x14:id>{34CEB7F8-C48B-7B40-8F92-28D8A68B0173}</x14:id>
        </ext>
      </extLst>
    </cfRule>
  </conditionalFormatting>
  <conditionalFormatting sqref="C7:D7">
    <cfRule type="expression" priority="19" stopIfTrue="1">
      <formula>C7=""</formula>
    </cfRule>
  </conditionalFormatting>
  <conditionalFormatting sqref="C7:D7">
    <cfRule type="expression" dxfId="836" priority="20" stopIfTrue="1">
      <formula>C7=CléPersonnalisée2</formula>
    </cfRule>
    <cfRule type="expression" dxfId="835" priority="21" stopIfTrue="1">
      <formula>C7=CléPersonnalisée1</formula>
    </cfRule>
    <cfRule type="expression" dxfId="834" priority="22" stopIfTrue="1">
      <formula>C7=CléMaladie</formula>
    </cfRule>
    <cfRule type="expression" dxfId="833" priority="23" stopIfTrue="1">
      <formula>C7=CléPersonnel</formula>
    </cfRule>
    <cfRule type="expression" dxfId="832" priority="24" stopIfTrue="1">
      <formula>C7=CléCongé</formula>
    </cfRule>
  </conditionalFormatting>
  <conditionalFormatting sqref="C9:E9">
    <cfRule type="expression" priority="7" stopIfTrue="1">
      <formula>C9=""</formula>
    </cfRule>
  </conditionalFormatting>
  <conditionalFormatting sqref="C9:E9">
    <cfRule type="expression" dxfId="831" priority="8" stopIfTrue="1">
      <formula>C9=CléPersonnalisée2</formula>
    </cfRule>
    <cfRule type="expression" dxfId="830" priority="9" stopIfTrue="1">
      <formula>C9=CléPersonnalisée1</formula>
    </cfRule>
    <cfRule type="expression" dxfId="829" priority="10" stopIfTrue="1">
      <formula>C9=CléMaladie</formula>
    </cfRule>
    <cfRule type="expression" dxfId="828" priority="11" stopIfTrue="1">
      <formula>C9=CléPersonnel</formula>
    </cfRule>
    <cfRule type="expression" dxfId="827" priority="12" stopIfTrue="1">
      <formula>C9=CléCongé</formula>
    </cfRule>
  </conditionalFormatting>
  <conditionalFormatting sqref="E7:H7">
    <cfRule type="expression" priority="1" stopIfTrue="1">
      <formula>E7=""</formula>
    </cfRule>
  </conditionalFormatting>
  <conditionalFormatting sqref="E7:H7">
    <cfRule type="expression" dxfId="826" priority="2" stopIfTrue="1">
      <formula>E7=CléPersonnalisée2</formula>
    </cfRule>
    <cfRule type="expression" dxfId="825" priority="3" stopIfTrue="1">
      <formula>E7=CléPersonnalisée1</formula>
    </cfRule>
    <cfRule type="expression" dxfId="824" priority="4" stopIfTrue="1">
      <formula>E7=CléMaladie</formula>
    </cfRule>
    <cfRule type="expression" dxfId="823" priority="5" stopIfTrue="1">
      <formula>E7=CléPersonnel</formula>
    </cfRule>
    <cfRule type="expression" dxfId="822" priority="6" stopIfTrue="1">
      <formula>E7=CléCongé</formula>
    </cfRule>
  </conditionalFormatting>
  <dataValidations count="5">
    <dataValidation allowBlank="1" showInputMessage="1" showErrorMessage="1" prompt="Année mise à jour automatiquement en fonction de l’année entrée dans la feuille de calcul Janvier" sqref="AG4" xr:uid="{FCE29D8C-8892-3545-91B1-3BFB485B82ED}"/>
    <dataValidation allowBlank="1" showInputMessage="1" showErrorMessage="1" prompt="Suivez les absences du mois de décembre dans cette feuille de calcul" sqref="A1" xr:uid="{1587AC4F-1C47-B446-86BA-3C696EAC729F}"/>
    <dataValidation allowBlank="1" showInputMessage="1" showErrorMessage="1" prompt="Entrez une lettre et personnalisez l’étiquette à droite pour ajouter un élément de clé" sqref="R2" xr:uid="{37BB4B04-9848-604E-BC39-648B374AE4AC}"/>
    <dataValidation allowBlank="1" showInputMessage="1" showErrorMessage="1" prompt="Entrez une étiquette pour décrire la clé personnalisée à gauche" sqref="N2 S2" xr:uid="{81ED9265-9E9C-F647-8179-BBDB5B45A2A6}"/>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2B8706CA-7ECB-3E41-840D-24DE181D349E}"/>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4CEB7F8-C48B-7B40-8F92-28D8A68B0173}">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D0B24-B4E9-6F40-AAA0-F2A44331C02F}">
  <sheetPr>
    <tabColor theme="7" tint="0.79998168889431442"/>
  </sheetPr>
  <dimension ref="A1:AL11"/>
  <sheetViews>
    <sheetView showGridLines="0" topLeftCell="O1" zoomScaleNormal="100" workbookViewId="0">
      <selection activeCell="J11" sqref="J11"/>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35</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68</v>
      </c>
      <c r="D5" s="1" t="s">
        <v>53</v>
      </c>
      <c r="E5" s="1" t="s">
        <v>54</v>
      </c>
      <c r="F5" s="1" t="s">
        <v>55</v>
      </c>
      <c r="G5" s="1" t="s">
        <v>56</v>
      </c>
      <c r="H5" s="1" t="s">
        <v>57</v>
      </c>
      <c r="I5" s="1" t="s">
        <v>51</v>
      </c>
      <c r="J5" s="1" t="s">
        <v>52</v>
      </c>
      <c r="K5" s="1" t="s">
        <v>53</v>
      </c>
      <c r="L5" s="1" t="s">
        <v>54</v>
      </c>
      <c r="M5" s="1" t="s">
        <v>55</v>
      </c>
      <c r="N5" s="1" t="s">
        <v>56</v>
      </c>
      <c r="O5" s="1" t="s">
        <v>57</v>
      </c>
      <c r="P5" s="1" t="s">
        <v>51</v>
      </c>
      <c r="Q5" s="1" t="s">
        <v>52</v>
      </c>
      <c r="R5" s="1" t="s">
        <v>53</v>
      </c>
      <c r="S5" s="1" t="s">
        <v>54</v>
      </c>
      <c r="T5" s="1" t="s">
        <v>55</v>
      </c>
      <c r="U5" s="1" t="s">
        <v>56</v>
      </c>
      <c r="V5" s="1" t="s">
        <v>57</v>
      </c>
      <c r="W5" s="1" t="s">
        <v>51</v>
      </c>
      <c r="X5" s="1" t="s">
        <v>52</v>
      </c>
      <c r="Y5" s="1" t="s">
        <v>53</v>
      </c>
      <c r="Z5" s="1" t="s">
        <v>54</v>
      </c>
      <c r="AA5" s="1" t="s">
        <v>55</v>
      </c>
      <c r="AB5" s="1" t="s">
        <v>56</v>
      </c>
      <c r="AC5" s="1" t="s">
        <v>57</v>
      </c>
      <c r="AD5" s="1" t="s">
        <v>51</v>
      </c>
      <c r="AE5" s="1" t="s">
        <v>52</v>
      </c>
      <c r="AF5" s="1" t="s">
        <v>53</v>
      </c>
      <c r="AG5" s="1" t="s">
        <v>54</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17" t="s">
        <v>84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44">
        <v>460</v>
      </c>
      <c r="AI7" s="45">
        <v>114</v>
      </c>
      <c r="AJ7" s="42">
        <f t="shared" ref="AJ7:AJ10" si="0">(AH7)-(AI7)</f>
        <v>346</v>
      </c>
      <c r="AK7" s="45"/>
      <c r="AL7" s="61" t="s">
        <v>110</v>
      </c>
    </row>
    <row r="8" spans="2:38" ht="30" customHeight="1">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44">
        <v>0</v>
      </c>
      <c r="AI8" s="45"/>
      <c r="AJ8" s="42">
        <f t="shared" si="0"/>
        <v>0</v>
      </c>
      <c r="AK8" s="45"/>
      <c r="AL8" s="20"/>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44">
        <f>COUNTA(Décembre678910[[#This Row],[1]:[31]])</f>
        <v>0</v>
      </c>
      <c r="AI9" s="45"/>
      <c r="AJ9" s="42">
        <f t="shared" si="0"/>
        <v>0</v>
      </c>
      <c r="AK9" s="45"/>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44">
        <f>COUNTA(Décembre678910[[#This Row],[1]:[31]])</f>
        <v>0</v>
      </c>
      <c r="AI10" s="45"/>
      <c r="AJ10" s="42">
        <f t="shared" si="0"/>
        <v>0</v>
      </c>
      <c r="AK10" s="45"/>
      <c r="AL10" s="20"/>
    </row>
    <row r="11" spans="2:38" ht="30" customHeight="1">
      <c r="B11" s="12"/>
      <c r="C11" s="9">
        <f>SUBTOTAL(103,Décembre678910[1])</f>
        <v>0</v>
      </c>
      <c r="D11" s="9">
        <f>SUBTOTAL(103,Décembre678910[2])</f>
        <v>0</v>
      </c>
      <c r="E11" s="9">
        <f>SUBTOTAL(103,Décembre678910[3])</f>
        <v>0</v>
      </c>
      <c r="F11" s="9">
        <f>SUBTOTAL(103,Décembre678910[4])</f>
        <v>0</v>
      </c>
      <c r="G11" s="9">
        <f>SUBTOTAL(103,Décembre678910[5])</f>
        <v>0</v>
      </c>
      <c r="H11" s="9">
        <f>SUBTOTAL(103,Décembre678910[6])</f>
        <v>0</v>
      </c>
      <c r="I11" s="9">
        <f>SUBTOTAL(103,Décembre678910[7])</f>
        <v>0</v>
      </c>
      <c r="J11" s="9">
        <f>SUBTOTAL(103,Décembre678910[8])</f>
        <v>0</v>
      </c>
      <c r="K11" s="9">
        <f>SUBTOTAL(103,Décembre678910[9])</f>
        <v>0</v>
      </c>
      <c r="L11" s="9">
        <f>SUBTOTAL(103,Décembre678910[10])</f>
        <v>0</v>
      </c>
      <c r="M11" s="9">
        <f>SUBTOTAL(103,Décembre678910[11])</f>
        <v>0</v>
      </c>
      <c r="N11" s="9">
        <f>SUBTOTAL(103,Décembre678910[12])</f>
        <v>0</v>
      </c>
      <c r="O11" s="9">
        <f>SUBTOTAL(103,Décembre678910[13])</f>
        <v>0</v>
      </c>
      <c r="P11" s="9">
        <f>SUBTOTAL(103,Décembre678910[14])</f>
        <v>0</v>
      </c>
      <c r="Q11" s="9">
        <f>SUBTOTAL(103,Décembre678910[15])</f>
        <v>0</v>
      </c>
      <c r="R11" s="9">
        <f>SUBTOTAL(103,Décembre678910[16])</f>
        <v>0</v>
      </c>
      <c r="S11" s="9">
        <f>SUBTOTAL(103,Décembre678910[17])</f>
        <v>0</v>
      </c>
      <c r="T11" s="9">
        <f>SUBTOTAL(103,Décembre678910[18])</f>
        <v>0</v>
      </c>
      <c r="U11" s="9">
        <f>SUBTOTAL(103,Décembre678910[19])</f>
        <v>0</v>
      </c>
      <c r="V11" s="9">
        <f>SUBTOTAL(103,Décembre678910[20])</f>
        <v>0</v>
      </c>
      <c r="W11" s="9">
        <f>SUBTOTAL(103,Décembre678910[21])</f>
        <v>0</v>
      </c>
      <c r="X11" s="9">
        <f>SUBTOTAL(103,Décembre678910[22])</f>
        <v>0</v>
      </c>
      <c r="Y11" s="9">
        <f>SUBTOTAL(103,Décembre678910[23])</f>
        <v>0</v>
      </c>
      <c r="Z11" s="9">
        <f>SUBTOTAL(103,Décembre678910[24])</f>
        <v>0</v>
      </c>
      <c r="AA11" s="9">
        <f>SUBTOTAL(103,Décembre678910[25])</f>
        <v>0</v>
      </c>
      <c r="AB11" s="9">
        <f>SUBTOTAL(103,Décembre678910[26])</f>
        <v>0</v>
      </c>
      <c r="AC11" s="9">
        <f>SUBTOTAL(103,Décembre678910[27])</f>
        <v>0</v>
      </c>
      <c r="AD11" s="9">
        <f>SUBTOTAL(103,Décembre678910[28])</f>
        <v>0</v>
      </c>
      <c r="AE11" s="9">
        <f>SUBTOTAL(103,Décembre678910[29])</f>
        <v>0</v>
      </c>
      <c r="AF11" s="9">
        <f>SUBTOTAL(103,Décembre678910[30])</f>
        <v>0</v>
      </c>
      <c r="AG11" s="9">
        <f>SUBTOTAL(103,Décembre678910[31])</f>
        <v>0</v>
      </c>
      <c r="AH11" s="46">
        <f>SUBTOTAL(109,Décembre678910[[Total ]])</f>
        <v>460</v>
      </c>
      <c r="AI11" s="47"/>
      <c r="AJ11" s="47"/>
      <c r="AK11" s="47"/>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746" priority="2" stopIfTrue="1">
      <formula>C7=CléPersonnalisée2</formula>
    </cfRule>
    <cfRule type="expression" dxfId="745" priority="3" stopIfTrue="1">
      <formula>C7=CléPersonnalisée1</formula>
    </cfRule>
    <cfRule type="expression" dxfId="744" priority="4" stopIfTrue="1">
      <formula>C7=CléMaladie</formula>
    </cfRule>
    <cfRule type="expression" dxfId="743" priority="5" stopIfTrue="1">
      <formula>C7=CléPersonnel</formula>
    </cfRule>
    <cfRule type="expression" dxfId="742"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{4A158521-4FC5-514C-A176-2CA189B11B2D}</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E3E7B179-1236-8E4F-9228-07ADE05923E7}"/>
    <dataValidation allowBlank="1" showInputMessage="1" showErrorMessage="1" prompt="Entrez une étiquette pour décrire la clé personnalisée à gauche" sqref="N2 S2" xr:uid="{7F5E994B-DE46-A141-9BE5-7AF2AA1C3744}"/>
    <dataValidation allowBlank="1" showInputMessage="1" showErrorMessage="1" prompt="Entrez une lettre et personnalisez l’étiquette à droite pour ajouter un élément de clé" sqref="R2" xr:uid="{CC7560F6-7435-8D40-B373-E5A51E79D384}"/>
    <dataValidation allowBlank="1" showInputMessage="1" showErrorMessage="1" prompt="Suivez les absences du mois de décembre dans cette feuille de calcul" sqref="A1" xr:uid="{02F79965-FE8B-2143-8300-5AB216470C0B}"/>
    <dataValidation allowBlank="1" showInputMessage="1" showErrorMessage="1" prompt="Année mise à jour automatiquement en fonction de l’année entrée dans la feuille de calcul Janvier" sqref="AH4" xr:uid="{DACBC249-AEFB-F846-BC35-F2DC05784D0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A158521-4FC5-514C-A176-2CA189B11B2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50FC-78B0-0C4B-823B-F754AB95D915}">
  <sheetPr>
    <tabColor theme="7" tint="0.79998168889431442"/>
  </sheetPr>
  <dimension ref="A1:AK11"/>
  <sheetViews>
    <sheetView showGridLines="0" topLeftCell="B1" zoomScaleNormal="100" workbookViewId="0">
      <selection activeCell="I13" sqref="I13"/>
    </sheetView>
  </sheetViews>
  <sheetFormatPr baseColWidth="10" defaultColWidth="9.1640625" defaultRowHeight="30" customHeight="1"/>
  <cols>
    <col min="1" max="1" width="2.6640625" style="7" customWidth="1"/>
    <col min="2" max="2" width="25.6640625" style="7" customWidth="1"/>
    <col min="3" max="32" width="4.6640625" style="7" customWidth="1"/>
    <col min="33" max="33" width="13.5" style="7" customWidth="1"/>
    <col min="34" max="35" width="9.1640625" customWidth="1"/>
    <col min="36" max="36" width="9" customWidth="1"/>
    <col min="37" max="37" width="21" customWidth="1"/>
  </cols>
  <sheetData>
    <row r="1" spans="2:37" ht="50" customHeight="1">
      <c r="B1" s="10" t="s">
        <v>65</v>
      </c>
    </row>
    <row r="2" spans="2:37" ht="15" customHeight="1">
      <c r="B2" s="14"/>
      <c r="C2" s="3"/>
      <c r="D2" s="66" t="s">
        <v>44</v>
      </c>
      <c r="E2" s="67"/>
      <c r="F2" s="4"/>
      <c r="G2" s="69" t="s">
        <v>59</v>
      </c>
      <c r="H2" s="69"/>
      <c r="I2" s="5"/>
      <c r="J2" s="69" t="s">
        <v>60</v>
      </c>
      <c r="K2" s="69"/>
      <c r="L2" s="69"/>
      <c r="M2" s="69"/>
      <c r="N2" s="68"/>
      <c r="O2" s="68"/>
      <c r="P2" s="68"/>
      <c r="Q2" s="68"/>
      <c r="R2" s="15"/>
      <c r="S2" s="68"/>
      <c r="T2" s="68"/>
      <c r="U2" s="68"/>
      <c r="V2" s="68"/>
    </row>
    <row r="3" spans="2:37" ht="15" customHeight="1">
      <c r="B3" s="10"/>
    </row>
    <row r="4" spans="2:37" ht="30" customHeight="1">
      <c r="B4" s="13" t="s">
        <v>36</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13">
        <v>2020</v>
      </c>
    </row>
    <row r="5" spans="2:37" ht="15" customHeight="1">
      <c r="B5" s="13"/>
      <c r="C5" s="1" t="s">
        <v>69</v>
      </c>
      <c r="D5" s="1" t="s">
        <v>56</v>
      </c>
      <c r="E5" s="1" t="s">
        <v>57</v>
      </c>
      <c r="F5" s="1" t="s">
        <v>51</v>
      </c>
      <c r="G5" s="1" t="s">
        <v>52</v>
      </c>
      <c r="H5" s="1" t="s">
        <v>53</v>
      </c>
      <c r="I5" s="1" t="s">
        <v>54</v>
      </c>
      <c r="J5" s="1" t="s">
        <v>55</v>
      </c>
      <c r="K5" s="1" t="s">
        <v>56</v>
      </c>
      <c r="L5" s="1" t="s">
        <v>57</v>
      </c>
      <c r="M5" s="1" t="s">
        <v>51</v>
      </c>
      <c r="N5" s="1" t="s">
        <v>52</v>
      </c>
      <c r="O5" s="1" t="s">
        <v>53</v>
      </c>
      <c r="P5" s="1" t="s">
        <v>54</v>
      </c>
      <c r="Q5" s="1" t="s">
        <v>55</v>
      </c>
      <c r="R5" s="1" t="s">
        <v>56</v>
      </c>
      <c r="S5" s="1" t="s">
        <v>57</v>
      </c>
      <c r="T5" s="1" t="s">
        <v>51</v>
      </c>
      <c r="U5" s="1" t="s">
        <v>52</v>
      </c>
      <c r="V5" s="1" t="s">
        <v>53</v>
      </c>
      <c r="W5" s="1" t="s">
        <v>54</v>
      </c>
      <c r="X5" s="1" t="s">
        <v>55</v>
      </c>
      <c r="Y5" s="1" t="s">
        <v>56</v>
      </c>
      <c r="Z5" s="1" t="s">
        <v>57</v>
      </c>
      <c r="AA5" s="1" t="s">
        <v>51</v>
      </c>
      <c r="AB5" s="1" t="s">
        <v>52</v>
      </c>
      <c r="AC5" s="1" t="s">
        <v>53</v>
      </c>
      <c r="AD5" s="1" t="s">
        <v>54</v>
      </c>
      <c r="AE5" s="1" t="s">
        <v>55</v>
      </c>
      <c r="AF5" s="1" t="s">
        <v>56</v>
      </c>
      <c r="AG5" s="13"/>
    </row>
    <row r="6" spans="2:37"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c r="B7" s="17" t="s">
        <v>109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6">
        <v>0</v>
      </c>
      <c r="AH7" s="20"/>
      <c r="AI7" s="26">
        <f t="shared" ref="AI7:AI10" si="0">(AG7)-(AH7)</f>
        <v>0</v>
      </c>
      <c r="AJ7" s="20"/>
      <c r="AK7" s="20" t="s">
        <v>87</v>
      </c>
    </row>
    <row r="8" spans="2:37" ht="30" customHeight="1">
      <c r="B8" s="62" t="s">
        <v>111</v>
      </c>
      <c r="C8" s="2"/>
      <c r="D8" s="2"/>
      <c r="E8" s="2"/>
      <c r="F8" s="2"/>
      <c r="G8" s="2"/>
      <c r="H8" s="2"/>
      <c r="I8" s="2"/>
      <c r="J8" s="3"/>
      <c r="K8" s="3"/>
      <c r="L8" s="3"/>
      <c r="M8" s="3"/>
      <c r="N8" s="3"/>
      <c r="O8" s="3"/>
      <c r="P8" s="3"/>
      <c r="Q8" s="2"/>
      <c r="R8" s="2"/>
      <c r="S8" s="2"/>
      <c r="T8" s="2"/>
      <c r="U8" s="2"/>
      <c r="V8" s="2"/>
      <c r="W8" s="2"/>
      <c r="X8" s="2"/>
      <c r="Y8" s="2"/>
      <c r="Z8" s="2"/>
      <c r="AA8" s="2"/>
      <c r="AB8" s="2"/>
      <c r="AC8" s="2"/>
      <c r="AD8" s="2"/>
      <c r="AE8" s="2"/>
      <c r="AF8" s="2"/>
      <c r="AG8" s="6">
        <v>260</v>
      </c>
      <c r="AH8" s="21"/>
      <c r="AI8" s="26">
        <f t="shared" si="0"/>
        <v>260</v>
      </c>
      <c r="AJ8" s="21"/>
      <c r="AK8" s="20" t="s">
        <v>113</v>
      </c>
    </row>
    <row r="9" spans="2:37"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0"/>
        <v>0</v>
      </c>
      <c r="AJ9" s="21"/>
      <c r="AK9" s="20"/>
    </row>
    <row r="10" spans="2:37"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0"/>
        <v>0</v>
      </c>
      <c r="AJ10" s="21"/>
      <c r="AK10" s="20"/>
    </row>
    <row r="11" spans="2:37" ht="30" customHeight="1">
      <c r="B11" s="12"/>
      <c r="C11" s="9">
        <f>SUBTOTAL(103,Décembre67891011[1])</f>
        <v>0</v>
      </c>
      <c r="D11" s="9">
        <f>SUBTOTAL(103,Décembre67891011[2])</f>
        <v>0</v>
      </c>
      <c r="E11" s="9">
        <f>SUBTOTAL(103,Décembre67891011[3])</f>
        <v>0</v>
      </c>
      <c r="F11" s="9">
        <f>SUBTOTAL(103,Décembre67891011[4])</f>
        <v>0</v>
      </c>
      <c r="G11" s="9">
        <f>SUBTOTAL(103,Décembre67891011[5])</f>
        <v>0</v>
      </c>
      <c r="H11" s="9">
        <f>SUBTOTAL(103,Décembre67891011[6])</f>
        <v>0</v>
      </c>
      <c r="I11" s="9">
        <f>SUBTOTAL(103,Décembre67891011[7])</f>
        <v>0</v>
      </c>
      <c r="J11" s="9">
        <f>SUBTOTAL(103,Décembre67891011[8])</f>
        <v>0</v>
      </c>
      <c r="K11" s="9">
        <f>SUBTOTAL(103,Décembre67891011[9])</f>
        <v>0</v>
      </c>
      <c r="L11" s="9">
        <f>SUBTOTAL(103,Décembre67891011[10])</f>
        <v>0</v>
      </c>
      <c r="M11" s="9">
        <f>SUBTOTAL(103,Décembre67891011[11])</f>
        <v>0</v>
      </c>
      <c r="N11" s="9">
        <f>SUBTOTAL(103,Décembre67891011[12])</f>
        <v>0</v>
      </c>
      <c r="O11" s="9">
        <f>SUBTOTAL(103,Décembre67891011[13])</f>
        <v>0</v>
      </c>
      <c r="P11" s="9">
        <f>SUBTOTAL(103,Décembre67891011[14])</f>
        <v>0</v>
      </c>
      <c r="Q11" s="9">
        <f>SUBTOTAL(103,Décembre67891011[15])</f>
        <v>0</v>
      </c>
      <c r="R11" s="9">
        <f>SUBTOTAL(103,Décembre67891011[16])</f>
        <v>0</v>
      </c>
      <c r="S11" s="9">
        <f>SUBTOTAL(103,Décembre67891011[17])</f>
        <v>0</v>
      </c>
      <c r="T11" s="9">
        <f>SUBTOTAL(103,Décembre67891011[18])</f>
        <v>0</v>
      </c>
      <c r="U11" s="9">
        <f>SUBTOTAL(103,Décembre67891011[19])</f>
        <v>0</v>
      </c>
      <c r="V11" s="9">
        <f>SUBTOTAL(103,Décembre67891011[20])</f>
        <v>0</v>
      </c>
      <c r="W11" s="9">
        <f>SUBTOTAL(103,Décembre67891011[21])</f>
        <v>0</v>
      </c>
      <c r="X11" s="9">
        <f>SUBTOTAL(103,Décembre67891011[22])</f>
        <v>0</v>
      </c>
      <c r="Y11" s="9">
        <f>SUBTOTAL(103,Décembre67891011[23])</f>
        <v>0</v>
      </c>
      <c r="Z11" s="9">
        <f>SUBTOTAL(103,Décembre67891011[24])</f>
        <v>0</v>
      </c>
      <c r="AA11" s="9">
        <f>SUBTOTAL(103,Décembre67891011[25])</f>
        <v>0</v>
      </c>
      <c r="AB11" s="9">
        <f>SUBTOTAL(103,Décembre67891011[26])</f>
        <v>0</v>
      </c>
      <c r="AC11" s="9">
        <f>SUBTOTAL(103,Décembre67891011[27])</f>
        <v>0</v>
      </c>
      <c r="AD11" s="9">
        <f>SUBTOTAL(103,Décembre67891011[28])</f>
        <v>0</v>
      </c>
      <c r="AE11" s="9">
        <f>SUBTOTAL(103,Décembre67891011[29])</f>
        <v>0</v>
      </c>
      <c r="AF11" s="9">
        <f>SUBTOTAL(103,Décembre67891011[30])</f>
        <v>0</v>
      </c>
      <c r="AG11" s="9">
        <f>SUBTOTAL(109,Décembre67891011[[Total ]])</f>
        <v>260</v>
      </c>
      <c r="AH11" s="22"/>
      <c r="AI11" s="22"/>
      <c r="AJ11" s="22"/>
      <c r="AK11" s="22"/>
    </row>
  </sheetData>
  <mergeCells count="6">
    <mergeCell ref="C4:AF4"/>
    <mergeCell ref="D2:E2"/>
    <mergeCell ref="G2:H2"/>
    <mergeCell ref="J2:M2"/>
    <mergeCell ref="N2:Q2"/>
    <mergeCell ref="S2:V2"/>
  </mergeCells>
  <conditionalFormatting sqref="C7:AF7 C9:AF10 Q8:AF8">
    <cfRule type="expression" priority="7" stopIfTrue="1">
      <formula>C7=""</formula>
    </cfRule>
  </conditionalFormatting>
  <conditionalFormatting sqref="C7:AF7 C9:AF10 Q8:AF8">
    <cfRule type="expression" dxfId="664" priority="8" stopIfTrue="1">
      <formula>C7=CléPersonnalisée2</formula>
    </cfRule>
    <cfRule type="expression" dxfId="663" priority="9" stopIfTrue="1">
      <formula>C7=CléPersonnalisée1</formula>
    </cfRule>
    <cfRule type="expression" dxfId="662" priority="10" stopIfTrue="1">
      <formula>C7=CléMaladie</formula>
    </cfRule>
    <cfRule type="expression" dxfId="661" priority="11" stopIfTrue="1">
      <formula>C7=CléPersonnel</formula>
    </cfRule>
    <cfRule type="expression" dxfId="660" priority="12" stopIfTrue="1">
      <formula>C7=CléCongé</formula>
    </cfRule>
  </conditionalFormatting>
  <conditionalFormatting sqref="AG7:AG10">
    <cfRule type="dataBar" priority="13">
      <dataBar>
        <cfvo type="min"/>
        <cfvo type="formula" val="DATEDIF(DATE(AnnéeCalendrier,2,1),DATE(AnnéeCalendrier,3,1),&quot;d&quot;)"/>
        <color theme="2" tint="-0.249977111117893"/>
      </dataBar>
      <extLst>
        <ext xmlns:x14="http://schemas.microsoft.com/office/spreadsheetml/2009/9/main" uri="{B025F937-C7B1-47D3-B67F-A62EFF666E3E}">
          <x14:id>{47D03D9B-132E-CE46-BE79-3A510C23BEAC}</x14:id>
        </ext>
      </extLst>
    </cfRule>
  </conditionalFormatting>
  <conditionalFormatting sqref="C8:I8">
    <cfRule type="expression" priority="1" stopIfTrue="1">
      <formula>C8=""</formula>
    </cfRule>
  </conditionalFormatting>
  <conditionalFormatting sqref="C8:I8">
    <cfRule type="expression" dxfId="659" priority="2" stopIfTrue="1">
      <formula>C8=CléPersonnalisée2</formula>
    </cfRule>
    <cfRule type="expression" dxfId="658" priority="3" stopIfTrue="1">
      <formula>C8=CléPersonnalisée1</formula>
    </cfRule>
    <cfRule type="expression" dxfId="657" priority="4" stopIfTrue="1">
      <formula>C8=CléMaladie</formula>
    </cfRule>
    <cfRule type="expression" dxfId="656" priority="5" stopIfTrue="1">
      <formula>C8=CléPersonnel</formula>
    </cfRule>
    <cfRule type="expression" dxfId="655" priority="6" stopIfTrue="1">
      <formula>C8=CléCongé</formula>
    </cfRule>
  </conditionalFormatting>
  <dataValidations count="5">
    <dataValidation allowBlank="1" showInputMessage="1" showErrorMessage="1" prompt="Année mise à jour automatiquement en fonction de l’année entrée dans la feuille de calcul Janvier" sqref="AG4" xr:uid="{AFE1CBE0-0EBA-B54A-8950-DA3855BDF11E}"/>
    <dataValidation allowBlank="1" showInputMessage="1" showErrorMessage="1" prompt="Suivez les absences du mois de décembre dans cette feuille de calcul" sqref="A1" xr:uid="{FFB79835-1D2E-B049-90B8-2FEE4DF9EA8A}"/>
    <dataValidation allowBlank="1" showInputMessage="1" showErrorMessage="1" prompt="Entrez une lettre et personnalisez l’étiquette à droite pour ajouter un élément de clé" sqref="R2" xr:uid="{60D18709-9E55-FB41-A2B4-789C3318B332}"/>
    <dataValidation allowBlank="1" showInputMessage="1" showErrorMessage="1" prompt="Entrez une étiquette pour décrire la clé personnalisée à gauche" sqref="N2 S2" xr:uid="{7ECD4232-0C6A-C345-BD52-A63DD07A6C8C}"/>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9F80F61C-7A28-164A-B35E-EB441E3C189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7D03D9B-132E-CE46-BE79-3A510C23BEAC}">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19BA-4440-D64B-8D7C-ED094D8E0E76}">
  <sheetPr>
    <tabColor theme="7" tint="0.79998168889431442"/>
  </sheetPr>
  <dimension ref="A1:AL11"/>
  <sheetViews>
    <sheetView showGridLines="0" zoomScaleNormal="100" workbookViewId="0">
      <selection activeCell="AL15" sqref="AL15"/>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37</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 t="s">
        <v>52</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70" t="s">
        <v>106</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2">
        <v>260</v>
      </c>
      <c r="AI7" s="73"/>
      <c r="AJ7" s="74">
        <f t="shared" ref="AJ7:AJ10" si="0">(AH7)-(AI7)</f>
        <v>260</v>
      </c>
      <c r="AK7" s="73"/>
      <c r="AL7" s="73" t="s">
        <v>117</v>
      </c>
    </row>
    <row r="8" spans="2:38" ht="30" customHeight="1">
      <c r="B8" s="62" t="s">
        <v>112</v>
      </c>
      <c r="C8" s="2"/>
      <c r="D8" s="2"/>
      <c r="E8" s="2"/>
      <c r="F8" s="2"/>
      <c r="G8" s="2"/>
      <c r="H8" s="2"/>
      <c r="I8" s="2"/>
      <c r="J8" s="2"/>
      <c r="K8" s="2"/>
      <c r="L8" s="2"/>
      <c r="M8" s="18"/>
      <c r="N8" s="18"/>
      <c r="O8" s="18"/>
      <c r="P8" s="18"/>
      <c r="Q8" s="18"/>
      <c r="R8" s="18"/>
      <c r="S8" s="18"/>
      <c r="T8" s="18"/>
      <c r="U8" s="18"/>
      <c r="V8" s="18"/>
      <c r="W8" s="2"/>
      <c r="X8" s="2"/>
      <c r="Y8" s="2"/>
      <c r="Z8" s="2"/>
      <c r="AA8" s="2"/>
      <c r="AB8" s="2"/>
      <c r="AC8" s="2"/>
      <c r="AD8" s="2"/>
      <c r="AE8" s="2"/>
      <c r="AF8" s="2"/>
      <c r="AG8" s="2"/>
      <c r="AH8" s="6">
        <v>280</v>
      </c>
      <c r="AI8" s="21">
        <v>84</v>
      </c>
      <c r="AJ8" s="26">
        <v>286</v>
      </c>
      <c r="AK8" s="21"/>
      <c r="AL8" s="20" t="s">
        <v>114</v>
      </c>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COUNTA(Décembre6789101112[[#This Row],[1]:[31]])</f>
        <v>0</v>
      </c>
      <c r="AI10" s="21"/>
      <c r="AJ10" s="26">
        <f t="shared" si="0"/>
        <v>0</v>
      </c>
      <c r="AK10" s="21"/>
      <c r="AL10" s="20"/>
    </row>
    <row r="11" spans="2:38" ht="30" customHeight="1">
      <c r="B11" s="12"/>
      <c r="C11" s="9">
        <f>SUBTOTAL(103,Décembre6789101112[1])</f>
        <v>0</v>
      </c>
      <c r="D11" s="9">
        <f>SUBTOTAL(103,Décembre6789101112[2])</f>
        <v>0</v>
      </c>
      <c r="E11" s="9">
        <f>SUBTOTAL(103,Décembre6789101112[3])</f>
        <v>0</v>
      </c>
      <c r="F11" s="9">
        <f>SUBTOTAL(103,Décembre6789101112[4])</f>
        <v>0</v>
      </c>
      <c r="G11" s="9">
        <f>SUBTOTAL(103,Décembre6789101112[5])</f>
        <v>0</v>
      </c>
      <c r="H11" s="9">
        <f>SUBTOTAL(103,Décembre6789101112[6])</f>
        <v>0</v>
      </c>
      <c r="I11" s="9">
        <f>SUBTOTAL(103,Décembre6789101112[7])</f>
        <v>0</v>
      </c>
      <c r="J11" s="9">
        <f>SUBTOTAL(103,Décembre6789101112[8])</f>
        <v>0</v>
      </c>
      <c r="K11" s="9">
        <f>SUBTOTAL(103,Décembre6789101112[9])</f>
        <v>0</v>
      </c>
      <c r="L11" s="9">
        <f>SUBTOTAL(103,Décembre6789101112[10])</f>
        <v>0</v>
      </c>
      <c r="M11" s="9">
        <f>SUBTOTAL(103,Décembre6789101112[11])</f>
        <v>0</v>
      </c>
      <c r="N11" s="9">
        <f>SUBTOTAL(103,Décembre6789101112[12])</f>
        <v>0</v>
      </c>
      <c r="O11" s="9">
        <f>SUBTOTAL(103,Décembre6789101112[13])</f>
        <v>0</v>
      </c>
      <c r="P11" s="9">
        <f>SUBTOTAL(103,Décembre6789101112[14])</f>
        <v>0</v>
      </c>
      <c r="Q11" s="9">
        <f>SUBTOTAL(103,Décembre6789101112[15])</f>
        <v>0</v>
      </c>
      <c r="R11" s="9">
        <f>SUBTOTAL(103,Décembre6789101112[16])</f>
        <v>0</v>
      </c>
      <c r="S11" s="9">
        <f>SUBTOTAL(103,Décembre6789101112[17])</f>
        <v>0</v>
      </c>
      <c r="T11" s="9">
        <f>SUBTOTAL(103,Décembre6789101112[18])</f>
        <v>0</v>
      </c>
      <c r="U11" s="9">
        <f>SUBTOTAL(103,Décembre6789101112[19])</f>
        <v>0</v>
      </c>
      <c r="V11" s="9">
        <f>SUBTOTAL(103,Décembre6789101112[20])</f>
        <v>0</v>
      </c>
      <c r="W11" s="9">
        <f>SUBTOTAL(103,Décembre6789101112[21])</f>
        <v>0</v>
      </c>
      <c r="X11" s="9">
        <f>SUBTOTAL(103,Décembre6789101112[22])</f>
        <v>0</v>
      </c>
      <c r="Y11" s="9">
        <f>SUBTOTAL(103,Décembre6789101112[23])</f>
        <v>0</v>
      </c>
      <c r="Z11" s="9">
        <f>SUBTOTAL(103,Décembre6789101112[24])</f>
        <v>0</v>
      </c>
      <c r="AA11" s="9">
        <f>SUBTOTAL(103,Décembre6789101112[25])</f>
        <v>0</v>
      </c>
      <c r="AB11" s="9">
        <f>SUBTOTAL(103,Décembre6789101112[26])</f>
        <v>0</v>
      </c>
      <c r="AC11" s="9">
        <f>SUBTOTAL(103,Décembre6789101112[27])</f>
        <v>0</v>
      </c>
      <c r="AD11" s="9">
        <f>SUBTOTAL(103,Décembre6789101112[28])</f>
        <v>0</v>
      </c>
      <c r="AE11" s="9">
        <f>SUBTOTAL(103,Décembre6789101112[29])</f>
        <v>0</v>
      </c>
      <c r="AF11" s="9">
        <f>SUBTOTAL(103,Décembre6789101112[30])</f>
        <v>0</v>
      </c>
      <c r="AG11" s="9">
        <f>SUBTOTAL(103,Décembre6789101112[31])</f>
        <v>0</v>
      </c>
      <c r="AH11" s="9">
        <f>SUBTOTAL(109,Décembre6789101112[[Total ]])</f>
        <v>540</v>
      </c>
      <c r="AI11" s="22"/>
      <c r="AJ11" s="22"/>
      <c r="AK11" s="22"/>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579" priority="2" stopIfTrue="1">
      <formula>C7=CléPersonnalisée2</formula>
    </cfRule>
    <cfRule type="expression" dxfId="578" priority="3" stopIfTrue="1">
      <formula>C7=CléPersonnalisée1</formula>
    </cfRule>
    <cfRule type="expression" dxfId="577" priority="4" stopIfTrue="1">
      <formula>C7=CléMaladie</formula>
    </cfRule>
    <cfRule type="expression" dxfId="576" priority="5" stopIfTrue="1">
      <formula>C7=CléPersonnel</formula>
    </cfRule>
    <cfRule type="expression" dxfId="575"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{80A50C12-0BBD-354E-AD7F-96F30E98B1FF}</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86B437C4-2741-3649-8F64-C20B578236ED}"/>
    <dataValidation allowBlank="1" showInputMessage="1" showErrorMessage="1" prompt="Entrez une étiquette pour décrire la clé personnalisée à gauche" sqref="N2 S2" xr:uid="{B3516560-62F2-A543-86F0-A1A3ACF8EBE0}"/>
    <dataValidation allowBlank="1" showInputMessage="1" showErrorMessage="1" prompt="Entrez une lettre et personnalisez l’étiquette à droite pour ajouter un élément de clé" sqref="R2" xr:uid="{37DFAE06-612C-6048-8EB6-7AA04E622C3B}"/>
    <dataValidation allowBlank="1" showInputMessage="1" showErrorMessage="1" prompt="Suivez les absences du mois de décembre dans cette feuille de calcul" sqref="A1" xr:uid="{752AE06C-739E-144F-A838-C668F1047CB7}"/>
    <dataValidation allowBlank="1" showInputMessage="1" showErrorMessage="1" prompt="Année mise à jour automatiquement en fonction de l’année entrée dans la feuille de calcul Janvier" sqref="AH4" xr:uid="{5E8B7FC1-0CF2-9445-8993-49E5CF3C083D}"/>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A50C12-0BBD-354E-AD7F-96F30E98B1FF}">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FBDC-BC3D-7B4D-B4C9-FCC977C682EE}">
  <sheetPr>
    <tabColor theme="7" tint="0.79998168889431442"/>
  </sheetPr>
  <dimension ref="A1:AL11"/>
  <sheetViews>
    <sheetView showGridLines="0" tabSelected="1" zoomScaleNormal="100" workbookViewId="0">
      <selection activeCell="S17" sqref="S17"/>
    </sheetView>
  </sheetViews>
  <sheetFormatPr baseColWidth="10" defaultColWidth="9.1640625" defaultRowHeight="30" customHeight="1"/>
  <cols>
    <col min="1" max="1" width="2.6640625" style="7" customWidth="1"/>
    <col min="2" max="2" width="25.6640625" style="7" customWidth="1"/>
    <col min="3" max="33" width="4.6640625" style="7" customWidth="1"/>
    <col min="34" max="34" width="13.5" style="7" customWidth="1"/>
    <col min="35" max="36" width="9.1640625" customWidth="1"/>
    <col min="37" max="37" width="9" customWidth="1"/>
    <col min="38" max="38" width="21" customWidth="1"/>
  </cols>
  <sheetData>
    <row r="1" spans="2:38" ht="50" customHeight="1">
      <c r="B1" s="10" t="s">
        <v>65</v>
      </c>
    </row>
    <row r="2" spans="2:38" ht="15" customHeight="1">
      <c r="B2" s="14"/>
      <c r="C2" s="3"/>
      <c r="D2" s="66" t="s">
        <v>44</v>
      </c>
      <c r="E2" s="67"/>
      <c r="F2" s="4"/>
      <c r="G2" s="69" t="s">
        <v>59</v>
      </c>
      <c r="H2" s="69"/>
      <c r="I2" s="5"/>
      <c r="J2" s="69" t="s">
        <v>60</v>
      </c>
      <c r="K2" s="69"/>
      <c r="L2" s="69"/>
      <c r="M2" s="69"/>
      <c r="N2" s="68"/>
      <c r="O2" s="68"/>
      <c r="P2" s="68"/>
      <c r="Q2" s="68"/>
      <c r="R2" s="15"/>
      <c r="S2" s="68"/>
      <c r="T2" s="68"/>
      <c r="U2" s="68"/>
      <c r="V2" s="68"/>
    </row>
    <row r="3" spans="2:38" ht="15" customHeight="1">
      <c r="B3" s="10"/>
    </row>
    <row r="4" spans="2:38" ht="30" customHeight="1">
      <c r="B4" s="13" t="s">
        <v>38</v>
      </c>
      <c r="C4" s="65" t="s">
        <v>45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13">
        <v>2020</v>
      </c>
    </row>
    <row r="5" spans="2:38" ht="15" customHeight="1">
      <c r="B5" s="13"/>
      <c r="C5" s="1" t="s">
        <v>67</v>
      </c>
      <c r="D5" s="1" t="s">
        <v>54</v>
      </c>
      <c r="E5" s="1" t="s">
        <v>55</v>
      </c>
      <c r="F5" s="1" t="s">
        <v>56</v>
      </c>
      <c r="G5" s="1" t="s">
        <v>57</v>
      </c>
      <c r="H5" s="1" t="s">
        <v>51</v>
      </c>
      <c r="I5" s="1" t="s">
        <v>52</v>
      </c>
      <c r="J5" s="1" t="s">
        <v>53</v>
      </c>
      <c r="K5" s="1" t="s">
        <v>54</v>
      </c>
      <c r="L5" s="1" t="s">
        <v>55</v>
      </c>
      <c r="M5" s="1" t="s">
        <v>56</v>
      </c>
      <c r="N5" s="1" t="s">
        <v>57</v>
      </c>
      <c r="O5" s="1" t="s">
        <v>51</v>
      </c>
      <c r="P5" s="1" t="s">
        <v>52</v>
      </c>
      <c r="Q5" s="1" t="s">
        <v>53</v>
      </c>
      <c r="R5" s="1" t="s">
        <v>54</v>
      </c>
      <c r="S5" s="1" t="s">
        <v>55</v>
      </c>
      <c r="T5" s="1" t="s">
        <v>56</v>
      </c>
      <c r="U5" s="1" t="s">
        <v>57</v>
      </c>
      <c r="V5" s="1" t="s">
        <v>51</v>
      </c>
      <c r="W5" s="1" t="s">
        <v>52</v>
      </c>
      <c r="X5" s="1" t="s">
        <v>53</v>
      </c>
      <c r="Y5" s="1" t="s">
        <v>54</v>
      </c>
      <c r="Z5" s="1" t="s">
        <v>55</v>
      </c>
      <c r="AA5" s="1" t="s">
        <v>56</v>
      </c>
      <c r="AB5" s="1" t="s">
        <v>57</v>
      </c>
      <c r="AC5" s="1" t="s">
        <v>51</v>
      </c>
      <c r="AD5" s="1" t="s">
        <v>52</v>
      </c>
      <c r="AE5" s="1" t="s">
        <v>53</v>
      </c>
      <c r="AF5" s="1" t="s">
        <v>54</v>
      </c>
      <c r="AG5" s="1" t="s">
        <v>55</v>
      </c>
      <c r="AH5" s="13"/>
    </row>
    <row r="6" spans="2:38" ht="15" customHeight="1">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c r="B7" s="70" t="s">
        <v>106</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2">
        <v>0</v>
      </c>
      <c r="AI7" s="73"/>
      <c r="AJ7" s="74">
        <f t="shared" ref="AJ7:AJ10" si="0">(AH7)-(AI7)</f>
        <v>0</v>
      </c>
      <c r="AK7" s="73"/>
      <c r="AL7" s="73" t="s">
        <v>117</v>
      </c>
    </row>
    <row r="8" spans="2:38" ht="30" customHeight="1">
      <c r="B8" s="17" t="s">
        <v>118</v>
      </c>
      <c r="C8" s="2"/>
      <c r="D8" s="2"/>
      <c r="E8" s="18"/>
      <c r="F8" s="18"/>
      <c r="G8" s="18"/>
      <c r="H8" s="18"/>
      <c r="I8" s="18"/>
      <c r="J8" s="18"/>
      <c r="K8" s="18"/>
      <c r="L8" s="18"/>
      <c r="M8" s="18"/>
      <c r="N8" s="18"/>
      <c r="O8" s="18"/>
      <c r="P8" s="18"/>
      <c r="Q8" s="2"/>
      <c r="R8" s="2"/>
      <c r="S8" s="2"/>
      <c r="T8" s="2"/>
      <c r="U8" s="2"/>
      <c r="V8" s="2"/>
      <c r="W8" s="2"/>
      <c r="X8" s="2"/>
      <c r="Y8" s="2"/>
      <c r="Z8" s="2"/>
      <c r="AA8" s="2"/>
      <c r="AB8" s="2"/>
      <c r="AC8" s="2"/>
      <c r="AD8" s="2"/>
      <c r="AE8" s="2"/>
      <c r="AF8" s="2"/>
      <c r="AG8" s="2"/>
      <c r="AH8" s="6">
        <v>423.1</v>
      </c>
      <c r="AI8" s="21"/>
      <c r="AJ8" s="26">
        <f t="shared" si="0"/>
        <v>423.1</v>
      </c>
      <c r="AK8" s="21"/>
      <c r="AL8" s="20" t="s">
        <v>119</v>
      </c>
    </row>
    <row r="9" spans="2:38" ht="30" customHeight="1">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COUNTA(Décembre678910111214[[#This Row],[1]:[31]])</f>
        <v>0</v>
      </c>
      <c r="AI9" s="21"/>
      <c r="AJ9" s="26">
        <f t="shared" si="0"/>
        <v>0</v>
      </c>
      <c r="AK9" s="21"/>
      <c r="AL9" s="20"/>
    </row>
    <row r="10" spans="2:38" ht="30" customHeight="1">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COUNTA(Décembre678910111214[[#This Row],[1]:[31]])</f>
        <v>0</v>
      </c>
      <c r="AI10" s="21"/>
      <c r="AJ10" s="26">
        <f t="shared" si="0"/>
        <v>0</v>
      </c>
      <c r="AK10" s="21"/>
      <c r="AL10" s="20"/>
    </row>
    <row r="11" spans="2:38" ht="30" customHeight="1">
      <c r="B11" s="12"/>
      <c r="C11" s="9">
        <f>SUBTOTAL(103,Décembre678910111214[1])</f>
        <v>0</v>
      </c>
      <c r="D11" s="9">
        <f>SUBTOTAL(103,Décembre678910111214[2])</f>
        <v>0</v>
      </c>
      <c r="E11" s="9">
        <f>SUBTOTAL(103,Décembre678910111214[3])</f>
        <v>0</v>
      </c>
      <c r="F11" s="9">
        <f>SUBTOTAL(103,Décembre678910111214[4])</f>
        <v>0</v>
      </c>
      <c r="G11" s="9">
        <f>SUBTOTAL(103,Décembre678910111214[5])</f>
        <v>0</v>
      </c>
      <c r="H11" s="9">
        <f>SUBTOTAL(103,Décembre678910111214[6])</f>
        <v>0</v>
      </c>
      <c r="I11" s="9">
        <f>SUBTOTAL(103,Décembre678910111214[7])</f>
        <v>0</v>
      </c>
      <c r="J11" s="9">
        <f>SUBTOTAL(103,Décembre678910111214[8])</f>
        <v>0</v>
      </c>
      <c r="K11" s="9">
        <f>SUBTOTAL(103,Décembre678910111214[9])</f>
        <v>0</v>
      </c>
      <c r="L11" s="9">
        <f>SUBTOTAL(103,Décembre678910111214[10])</f>
        <v>0</v>
      </c>
      <c r="M11" s="9">
        <f>SUBTOTAL(103,Décembre678910111214[11])</f>
        <v>0</v>
      </c>
      <c r="N11" s="9">
        <f>SUBTOTAL(103,Décembre678910111214[12])</f>
        <v>0</v>
      </c>
      <c r="O11" s="9">
        <f>SUBTOTAL(103,Décembre678910111214[13])</f>
        <v>0</v>
      </c>
      <c r="P11" s="9">
        <f>SUBTOTAL(103,Décembre678910111214[14])</f>
        <v>0</v>
      </c>
      <c r="Q11" s="9">
        <f>SUBTOTAL(103,Décembre678910111214[15])</f>
        <v>0</v>
      </c>
      <c r="R11" s="9">
        <f>SUBTOTAL(103,Décembre678910111214[16])</f>
        <v>0</v>
      </c>
      <c r="S11" s="9">
        <f>SUBTOTAL(103,Décembre678910111214[17])</f>
        <v>0</v>
      </c>
      <c r="T11" s="9">
        <f>SUBTOTAL(103,Décembre678910111214[18])</f>
        <v>0</v>
      </c>
      <c r="U11" s="9">
        <f>SUBTOTAL(103,Décembre678910111214[19])</f>
        <v>0</v>
      </c>
      <c r="V11" s="9">
        <f>SUBTOTAL(103,Décembre678910111214[20])</f>
        <v>0</v>
      </c>
      <c r="W11" s="9">
        <f>SUBTOTAL(103,Décembre678910111214[21])</f>
        <v>0</v>
      </c>
      <c r="X11" s="9">
        <f>SUBTOTAL(103,Décembre678910111214[22])</f>
        <v>0</v>
      </c>
      <c r="Y11" s="9">
        <f>SUBTOTAL(103,Décembre678910111214[23])</f>
        <v>0</v>
      </c>
      <c r="Z11" s="9">
        <f>SUBTOTAL(103,Décembre678910111214[24])</f>
        <v>0</v>
      </c>
      <c r="AA11" s="9">
        <f>SUBTOTAL(103,Décembre678910111214[25])</f>
        <v>0</v>
      </c>
      <c r="AB11" s="9">
        <f>SUBTOTAL(103,Décembre678910111214[26])</f>
        <v>0</v>
      </c>
      <c r="AC11" s="9">
        <f>SUBTOTAL(103,Décembre678910111214[27])</f>
        <v>0</v>
      </c>
      <c r="AD11" s="9">
        <f>SUBTOTAL(103,Décembre678910111214[28])</f>
        <v>0</v>
      </c>
      <c r="AE11" s="9">
        <f>SUBTOTAL(103,Décembre678910111214[29])</f>
        <v>0</v>
      </c>
      <c r="AF11" s="9">
        <f>SUBTOTAL(103,Décembre678910111214[30])</f>
        <v>0</v>
      </c>
      <c r="AG11" s="9">
        <f>SUBTOTAL(103,Décembre678910111214[31])</f>
        <v>0</v>
      </c>
      <c r="AH11" s="9">
        <f>SUBTOTAL(109,Décembre678910111214[[Total ]])</f>
        <v>423.1</v>
      </c>
      <c r="AI11" s="22"/>
      <c r="AJ11" s="22"/>
      <c r="AK11" s="22"/>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534" priority="2" stopIfTrue="1">
      <formula>C7=CléPersonnalisée2</formula>
    </cfRule>
    <cfRule type="expression" dxfId="533" priority="3" stopIfTrue="1">
      <formula>C7=CléPersonnalisée1</formula>
    </cfRule>
    <cfRule type="expression" dxfId="532" priority="4" stopIfTrue="1">
      <formula>C7=CléMaladie</formula>
    </cfRule>
    <cfRule type="expression" dxfId="531" priority="5" stopIfTrue="1">
      <formula>C7=CléPersonnel</formula>
    </cfRule>
    <cfRule type="expression" dxfId="530"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{C79D9C2E-EA64-3A47-B4D9-E6BED6D998CD}</x14:id>
        </ext>
      </extLst>
    </cfRule>
  </conditionalFormatting>
  <dataValidations count="5">
    <dataValidation allowBlank="1" showInputMessage="1" showErrorMessage="1" prompt="Année mise à jour automatiquement en fonction de l’année entrée dans la feuille de calcul Janvier" sqref="AH4" xr:uid="{9D331579-0B7C-1B4B-A9BC-44EAC1EEE4FE}"/>
    <dataValidation allowBlank="1" showInputMessage="1" showErrorMessage="1" prompt="Suivez les absences du mois de décembre dans cette feuille de calcul" sqref="A1" xr:uid="{8212D0F7-CC15-4D42-87F0-232216B7978E}"/>
    <dataValidation allowBlank="1" showInputMessage="1" showErrorMessage="1" prompt="Entrez une lettre et personnalisez l’étiquette à droite pour ajouter un élément de clé" sqref="R2" xr:uid="{FA984C27-2B04-8347-9108-3896E429D159}"/>
    <dataValidation allowBlank="1" showInputMessage="1" showErrorMessage="1" prompt="Entrez une étiquette pour décrire la clé personnalisée à gauche" sqref="N2 S2" xr:uid="{5BEDB50F-F66D-8841-B7AB-062512917CB3}"/>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6131A2EA-DE95-3C42-B739-C7C826E56344}"/>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79D9C2E-EA64-3A47-B4D9-E6BED6D998C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15</vt:i4>
      </vt:variant>
      <vt:variant>
        <vt:lpstr>Plages nommées</vt:lpstr>
      </vt:variant>
      <vt:variant>
        <vt:i4>54</vt:i4>
      </vt:variant>
    </vt:vector>
  </HeadingPairs>
  <TitlesOfParts>
    <vt:vector size="69" baseType="lpstr">
      <vt:lpstr>Décembre 2019</vt:lpstr>
      <vt:lpstr>Janvier 2020</vt:lpstr>
      <vt:lpstr>Février</vt:lpstr>
      <vt:lpstr>Mars</vt:lpstr>
      <vt:lpstr>Avril</vt:lpstr>
      <vt:lpstr>Mai</vt:lpstr>
      <vt:lpstr>Juin</vt:lpstr>
      <vt:lpstr>Juillet</vt:lpstr>
      <vt:lpstr>Août</vt:lpstr>
      <vt:lpstr>Septembre</vt:lpstr>
      <vt:lpstr>Octobre</vt:lpstr>
      <vt:lpstr>Novembre</vt:lpstr>
      <vt:lpstr>Décembre 2020</vt:lpstr>
      <vt:lpstr>Janv 2021</vt:lpstr>
      <vt:lpstr>Feuil1</vt:lpstr>
      <vt:lpstr>Août!CAL</vt:lpstr>
      <vt:lpstr>Avril!CAL</vt:lpstr>
      <vt:lpstr>'Décembre 2020'!CAL</vt:lpstr>
      <vt:lpstr>'Janv 2021'!CAL</vt:lpstr>
      <vt:lpstr>Juillet!CAL</vt:lpstr>
      <vt:lpstr>Juin!CAL</vt:lpstr>
      <vt:lpstr>Mai!CAL</vt:lpstr>
      <vt:lpstr>Mars!CAL</vt:lpstr>
      <vt:lpstr>Novembre!CAL</vt:lpstr>
      <vt:lpstr>Octobre!CAL</vt:lpstr>
      <vt:lpstr>Septembre!CAL</vt:lpstr>
      <vt:lpstr>CAL</vt:lpstr>
      <vt:lpstr>Août!Impression_des_titres</vt:lpstr>
      <vt:lpstr>Avril!Impression_des_titres</vt:lpstr>
      <vt:lpstr>'Décembre 2019'!Impression_des_titres</vt:lpstr>
      <vt:lpstr>'Décembre 2020'!Impression_des_titres</vt:lpstr>
      <vt:lpstr>Février!Impression_des_titres</vt:lpstr>
      <vt:lpstr>'Janv 2021'!Impression_des_titres</vt:lpstr>
      <vt:lpstr>'Janvier 2020'!Impression_des_titres</vt:lpstr>
      <vt:lpstr>Juillet!Impression_des_titres</vt:lpstr>
      <vt:lpstr>Juin!Impression_des_titres</vt:lpstr>
      <vt:lpstr>Mai!Impression_des_titres</vt:lpstr>
      <vt:lpstr>Mars!Impression_des_titres</vt:lpstr>
      <vt:lpstr>Novembre!Impression_des_titres</vt:lpstr>
      <vt:lpstr>Octobre!Impression_des_titres</vt:lpstr>
      <vt:lpstr>Septembre!Impression_des_titres</vt:lpstr>
      <vt:lpstr>Août!NomMois</vt:lpstr>
      <vt:lpstr>Avril!NomMois</vt:lpstr>
      <vt:lpstr>'Décembre 2019'!NomMois</vt:lpstr>
      <vt:lpstr>'Décembre 2020'!NomMois</vt:lpstr>
      <vt:lpstr>Février!NomMois</vt:lpstr>
      <vt:lpstr>'Janv 2021'!NomMois</vt:lpstr>
      <vt:lpstr>'Janvier 2020'!NomMois</vt:lpstr>
      <vt:lpstr>Juillet!NomMois</vt:lpstr>
      <vt:lpstr>Juin!NomMois</vt:lpstr>
      <vt:lpstr>Mai!NomMois</vt:lpstr>
      <vt:lpstr>Mars!NomMois</vt:lpstr>
      <vt:lpstr>Novembre!NomMois</vt:lpstr>
      <vt:lpstr>Octobre!NomMois</vt:lpstr>
      <vt:lpstr>Septembre!NomMois</vt:lpstr>
      <vt:lpstr>Août!Titre12</vt:lpstr>
      <vt:lpstr>Avril!Titre12</vt:lpstr>
      <vt:lpstr>'Décembre 2020'!Titre12</vt:lpstr>
      <vt:lpstr>Février!Titre12</vt:lpstr>
      <vt:lpstr>'Janv 2021'!Titre12</vt:lpstr>
      <vt:lpstr>'Janvier 2020'!Titre12</vt:lpstr>
      <vt:lpstr>Juillet!Titre12</vt:lpstr>
      <vt:lpstr>Juin!Titre12</vt:lpstr>
      <vt:lpstr>Mai!Titre12</vt:lpstr>
      <vt:lpstr>Mars!Titre12</vt:lpstr>
      <vt:lpstr>Novembre!Titre12</vt:lpstr>
      <vt:lpstr>Octobre!Titre12</vt:lpstr>
      <vt:lpstr>Septembre!Titre12</vt:lpstr>
      <vt:lpstr>Titre12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Laurence Payet</dc:creator>
  <cp:lastModifiedBy>Laurence Payet</cp:lastModifiedBy>
  <dcterms:created xsi:type="dcterms:W3CDTF">2016-12-06T04:52:27Z</dcterms:created>
  <dcterms:modified xsi:type="dcterms:W3CDTF">2020-08-03T08:48:29Z</dcterms:modified>
</cp:coreProperties>
</file>